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009DFEA7-8C9C-09C3-8CAF-802165E75F88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001\Documents\Francesc Sabater\FEC - ERO 2019\"/>
    </mc:Choice>
  </mc:AlternateContent>
  <workbookProtection workbookPassword="F11D" lockStructure="1"/>
  <bookViews>
    <workbookView xWindow="0" yWindow="0" windowWidth="20490" windowHeight="8445" firstSheet="1" activeTab="1"/>
  </bookViews>
  <sheets>
    <sheet name="menú" sheetId="4" state="hidden" r:id="rId1"/>
    <sheet name="ERE 2019" sheetId="1" r:id="rId2"/>
    <sheet name="Nòmina exemple" sheetId="6" r:id="rId3"/>
    <sheet name="simulación" sheetId="3" state="hidden" r:id="rId4"/>
    <sheet name="pensiones" sheetId="5" state="hidden" r:id="rId5"/>
    <sheet name="variables" sheetId="2" state="hidden" r:id="rId6"/>
  </sheets>
  <definedNames>
    <definedName name="añofinrenta">simulación!$P$5</definedName>
    <definedName name="AñosJub">'ERE 2019'!$E$27</definedName>
    <definedName name="antigüedad">'ERE 2019'!$D$12</definedName>
    <definedName name="_xlnm.Print_Area" localSheetId="1">'ERE 2019'!$A$6:$N$70</definedName>
    <definedName name="_xlnm.Print_Area" localSheetId="3">simulación!$B$7:$I$30</definedName>
    <definedName name="ayuda">'ERE 2019'!$L$24</definedName>
    <definedName name="baseMax">variables!$G$69</definedName>
    <definedName name="bonus">'ERE 2019'!$L$25</definedName>
    <definedName name="cálculo">'ERE 2019'!$E$12</definedName>
    <definedName name="colectivo">'ERE 2019'!$F$12</definedName>
    <definedName name="CosteConvenio">variables!$B$77</definedName>
    <definedName name="coti">pensiones!$K$19</definedName>
    <definedName name="cuota">variables!$G$71</definedName>
    <definedName name="Cuota_Acumulada">'ERE 2019'!$L$14</definedName>
    <definedName name="cuotatrabajador">variables!$C$84</definedName>
    <definedName name="desempleo">variables!$F$64:$G$66</definedName>
    <definedName name="dias_exentos">'ERE 2019'!$L$31</definedName>
    <definedName name="escala">pensiones!$B$10:$E$20</definedName>
    <definedName name="exento">'ERE 2019'!$L$32</definedName>
    <definedName name="ingreso_estimado">simulación!$I$9</definedName>
    <definedName name="Ingresos_acumulados">'ERE 2019'!$I$14</definedName>
    <definedName name="Ingresos_anuales">'ERE 2019'!$L$20</definedName>
    <definedName name="interés_renta">variables!$F$55</definedName>
    <definedName name="irpf">'ERE 2019'!$K$12</definedName>
    <definedName name="irpfestimado">simulación!$I$10</definedName>
    <definedName name="marco">variables!$C$7:$V$47</definedName>
    <definedName name="Mes_Cumple">simulación!$O$2</definedName>
    <definedName name="Mes_Nómina">'ERE 2019'!$I$16</definedName>
    <definedName name="meses">variables!$N$62:$O$73</definedName>
    <definedName name="Meses_Primer_año">simulación!$O$7</definedName>
    <definedName name="Meses_Renta">simulación!$O$6</definedName>
    <definedName name="MesesJub">'ERE 2019'!#REF!</definedName>
    <definedName name="Mostrar">simulación!$C$30</definedName>
    <definedName name="naci">'ERE 2019'!$C$12</definedName>
    <definedName name="nivel_salarial">variables!$B$50:$B$61</definedName>
    <definedName name="No_mostrar">simulación!$C$29</definedName>
    <definedName name="NÓMINA">'ERE 2019'!$I$12</definedName>
    <definedName name="paro">'ERE 2019'!$D$3</definedName>
    <definedName name="plusC">'ERE 2019'!$L$22</definedName>
    <definedName name="plusConvenio">variables!$B$50:$C$61</definedName>
    <definedName name="porEntero">'ERE 2019'!$J$5</definedName>
    <definedName name="REDUCTOR">simulación!$I$27</definedName>
    <definedName name="Renta_Mensual">simulación!$O$5</definedName>
    <definedName name="Rentado">simulación!$C$31</definedName>
    <definedName name="salario_indemnizatorio">'ERE 2019'!$L$27</definedName>
    <definedName name="Salario_Neto">simulación!$D$12</definedName>
    <definedName name="SalarioRegulador">'ERE 2019'!$L$23</definedName>
    <definedName name="tablaCondiciones">variables!$F$50:$J$52</definedName>
    <definedName name="tablaPrimas">variables!$L$7:$M$15</definedName>
    <definedName name="totalHijos">'ERE 2019'!$C$15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5" l="1"/>
  <c r="L12" i="5"/>
  <c r="I11" i="5"/>
  <c r="L11" i="5"/>
  <c r="I10" i="5"/>
  <c r="L10" i="5"/>
  <c r="F12" i="1"/>
  <c r="L45" i="1"/>
  <c r="L44" i="1"/>
  <c r="L43" i="1"/>
  <c r="L42" i="1"/>
  <c r="L41" i="1"/>
  <c r="K40" i="1"/>
  <c r="K57" i="1"/>
  <c r="J61" i="1"/>
  <c r="J60" i="1"/>
  <c r="H55" i="1"/>
  <c r="H59" i="1"/>
  <c r="H54" i="1"/>
  <c r="H52" i="1"/>
  <c r="H51" i="1"/>
  <c r="H50" i="1"/>
  <c r="H48" i="1"/>
  <c r="H47" i="1"/>
  <c r="H45" i="1"/>
  <c r="H44" i="1"/>
  <c r="H40" i="1"/>
  <c r="H35" i="1"/>
  <c r="C30" i="3"/>
  <c r="E31" i="1"/>
  <c r="I16" i="1"/>
  <c r="I10" i="3" s="1"/>
  <c r="I28" i="3"/>
  <c r="I29" i="3"/>
  <c r="G37" i="3"/>
  <c r="G38" i="3"/>
  <c r="H38" i="3"/>
  <c r="J29" i="3"/>
  <c r="I30" i="3"/>
  <c r="I31" i="3"/>
  <c r="I27" i="3"/>
  <c r="L30" i="1"/>
  <c r="L29" i="1"/>
  <c r="L31" i="1"/>
  <c r="L22" i="1"/>
  <c r="L20" i="1"/>
  <c r="L27" i="1"/>
  <c r="L32" i="1"/>
  <c r="C31" i="3"/>
  <c r="O1" i="3"/>
  <c r="O6" i="3"/>
  <c r="C44" i="3"/>
  <c r="Q1" i="3"/>
  <c r="C7" i="3"/>
  <c r="K38" i="3"/>
  <c r="M38" i="3"/>
  <c r="L21" i="1"/>
  <c r="L23" i="1"/>
  <c r="K40" i="3"/>
  <c r="M40" i="3"/>
  <c r="K36" i="3"/>
  <c r="K41" i="3"/>
  <c r="C35" i="3"/>
  <c r="C36" i="3"/>
  <c r="C37" i="3"/>
  <c r="C41" i="3"/>
  <c r="N25" i="2"/>
  <c r="C38" i="3"/>
  <c r="C39" i="3"/>
  <c r="C42" i="3"/>
  <c r="C40" i="3"/>
  <c r="C43" i="3"/>
  <c r="D14" i="3"/>
  <c r="D16" i="3"/>
  <c r="S5" i="3"/>
  <c r="O5" i="3"/>
  <c r="O7" i="3"/>
  <c r="K10" i="3"/>
  <c r="R10" i="3"/>
  <c r="T10" i="3"/>
  <c r="P5" i="3"/>
  <c r="N10" i="3"/>
  <c r="N11" i="3"/>
  <c r="K11" i="3"/>
  <c r="R11" i="3"/>
  <c r="T11" i="3"/>
  <c r="N12" i="3"/>
  <c r="K12" i="3"/>
  <c r="R12" i="3"/>
  <c r="T12" i="3"/>
  <c r="N13" i="3"/>
  <c r="K13" i="3"/>
  <c r="R13" i="3"/>
  <c r="T13" i="3"/>
  <c r="N14" i="3"/>
  <c r="K14" i="3"/>
  <c r="R14" i="3"/>
  <c r="T14" i="3"/>
  <c r="N15" i="3"/>
  <c r="K15" i="3"/>
  <c r="R15" i="3"/>
  <c r="T15" i="3"/>
  <c r="N16" i="3"/>
  <c r="K16" i="3"/>
  <c r="R16" i="3"/>
  <c r="T16" i="3"/>
  <c r="S16" i="3"/>
  <c r="U16" i="3"/>
  <c r="N17" i="3"/>
  <c r="K17" i="3"/>
  <c r="R17" i="3"/>
  <c r="T17" i="3"/>
  <c r="S17" i="3"/>
  <c r="U17" i="3"/>
  <c r="N18" i="3"/>
  <c r="J18" i="3"/>
  <c r="K18" i="3"/>
  <c r="R18" i="3"/>
  <c r="T18" i="3"/>
  <c r="S18" i="3"/>
  <c r="U18" i="3"/>
  <c r="N19" i="3"/>
  <c r="K19" i="3"/>
  <c r="R19" i="3"/>
  <c r="T19" i="3"/>
  <c r="S19" i="3"/>
  <c r="U19" i="3"/>
  <c r="N20" i="3"/>
  <c r="K20" i="3"/>
  <c r="R20" i="3"/>
  <c r="T20" i="3"/>
  <c r="S20" i="3"/>
  <c r="U20" i="3"/>
  <c r="N21" i="3"/>
  <c r="K21" i="3"/>
  <c r="R21" i="3"/>
  <c r="T21" i="3"/>
  <c r="S21" i="3"/>
  <c r="U21" i="3"/>
  <c r="N22" i="3"/>
  <c r="K22" i="3"/>
  <c r="R22" i="3"/>
  <c r="T22" i="3"/>
  <c r="S22" i="3"/>
  <c r="U22" i="3"/>
  <c r="N23" i="3"/>
  <c r="K23" i="3"/>
  <c r="R23" i="3"/>
  <c r="T23" i="3"/>
  <c r="S23" i="3"/>
  <c r="U23" i="3"/>
  <c r="N24" i="3"/>
  <c r="K24" i="3"/>
  <c r="R24" i="3"/>
  <c r="T24" i="3"/>
  <c r="S24" i="3"/>
  <c r="U24" i="3"/>
  <c r="S15" i="3"/>
  <c r="U15" i="3"/>
  <c r="S14" i="3"/>
  <c r="U14" i="3"/>
  <c r="U11" i="3"/>
  <c r="S12" i="3"/>
  <c r="U12" i="3"/>
  <c r="S13" i="3"/>
  <c r="U13" i="3"/>
  <c r="U10" i="3"/>
  <c r="K39" i="3"/>
  <c r="I13" i="3"/>
  <c r="I15" i="3"/>
  <c r="H9" i="3"/>
  <c r="G17" i="3"/>
  <c r="H17" i="3"/>
  <c r="D9" i="3"/>
  <c r="E18" i="3"/>
  <c r="I18" i="3"/>
  <c r="G19" i="3"/>
  <c r="E19" i="3"/>
  <c r="I19" i="3"/>
  <c r="E17" i="3"/>
  <c r="I17" i="3"/>
  <c r="I69" i="2"/>
  <c r="I66" i="2"/>
  <c r="I64" i="2"/>
  <c r="I65" i="2"/>
  <c r="M10" i="2"/>
  <c r="M9" i="2"/>
  <c r="M8" i="2"/>
  <c r="M11" i="2"/>
  <c r="E11" i="2"/>
  <c r="E8" i="2"/>
  <c r="E9" i="2"/>
  <c r="E10" i="2"/>
  <c r="K12" i="1"/>
  <c r="G49" i="3"/>
  <c r="K50" i="3"/>
  <c r="M50" i="3"/>
  <c r="K49" i="3"/>
  <c r="K48" i="3"/>
  <c r="G48" i="3"/>
  <c r="G47" i="3"/>
  <c r="C51" i="3"/>
  <c r="U25" i="2"/>
  <c r="C50" i="3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4" i="2"/>
  <c r="U23" i="2"/>
  <c r="U22" i="2"/>
  <c r="U21" i="2"/>
  <c r="U20" i="2"/>
  <c r="U19" i="2"/>
  <c r="U18" i="2"/>
  <c r="U17" i="2"/>
  <c r="C47" i="3"/>
  <c r="C48" i="3"/>
  <c r="C49" i="3"/>
  <c r="G50" i="3"/>
  <c r="C53" i="3"/>
  <c r="C54" i="3"/>
  <c r="T3" i="3"/>
  <c r="U3" i="3"/>
  <c r="AF11" i="3"/>
  <c r="K6" i="3"/>
  <c r="N70" i="1"/>
  <c r="K53" i="5"/>
  <c r="K52" i="5"/>
  <c r="H51" i="3"/>
  <c r="K51" i="3"/>
  <c r="G51" i="3"/>
  <c r="K51" i="5"/>
  <c r="K50" i="5"/>
  <c r="K49" i="5"/>
  <c r="J49" i="5"/>
  <c r="E25" i="5"/>
  <c r="E24" i="5"/>
  <c r="E23" i="5"/>
  <c r="E22" i="5"/>
  <c r="E21" i="5"/>
  <c r="AB4" i="3"/>
  <c r="AB13" i="3"/>
  <c r="C54" i="1"/>
  <c r="AB14" i="3"/>
  <c r="C55" i="1"/>
  <c r="AB15" i="3"/>
  <c r="C56" i="1"/>
  <c r="AB16" i="3"/>
  <c r="C57" i="1"/>
  <c r="AB17" i="3"/>
  <c r="C58" i="1"/>
  <c r="AB18" i="3"/>
  <c r="C59" i="1"/>
  <c r="AB19" i="3"/>
  <c r="C60" i="1"/>
  <c r="AB20" i="3"/>
  <c r="C61" i="1"/>
  <c r="AB21" i="3"/>
  <c r="C62" i="1"/>
  <c r="AB22" i="3"/>
  <c r="AB23" i="3"/>
  <c r="AB24" i="3"/>
  <c r="E43" i="2"/>
  <c r="M43" i="2"/>
  <c r="N43" i="2"/>
  <c r="O43" i="2"/>
  <c r="E44" i="2"/>
  <c r="M44" i="2"/>
  <c r="N44" i="2"/>
  <c r="O44" i="2"/>
  <c r="E45" i="2"/>
  <c r="M45" i="2"/>
  <c r="N45" i="2"/>
  <c r="O45" i="2"/>
  <c r="E46" i="2"/>
  <c r="M46" i="2"/>
  <c r="N46" i="2"/>
  <c r="O46" i="2"/>
  <c r="E47" i="2"/>
  <c r="M47" i="2"/>
  <c r="N47" i="2"/>
  <c r="O47" i="2"/>
  <c r="E36" i="2"/>
  <c r="M36" i="2"/>
  <c r="N36" i="2"/>
  <c r="O36" i="2"/>
  <c r="E37" i="2"/>
  <c r="M37" i="2"/>
  <c r="N37" i="2"/>
  <c r="O37" i="2"/>
  <c r="E38" i="2"/>
  <c r="M38" i="2"/>
  <c r="N38" i="2"/>
  <c r="O38" i="2"/>
  <c r="E39" i="2"/>
  <c r="M39" i="2"/>
  <c r="N39" i="2"/>
  <c r="O39" i="2"/>
  <c r="E40" i="2"/>
  <c r="M40" i="2"/>
  <c r="N40" i="2"/>
  <c r="O40" i="2"/>
  <c r="E41" i="2"/>
  <c r="M41" i="2"/>
  <c r="N41" i="2"/>
  <c r="O41" i="2"/>
  <c r="E42" i="2"/>
  <c r="M42" i="2"/>
  <c r="N42" i="2"/>
  <c r="O42" i="2"/>
  <c r="E28" i="2"/>
  <c r="M28" i="2"/>
  <c r="N28" i="2"/>
  <c r="O28" i="2"/>
  <c r="E29" i="2"/>
  <c r="M29" i="2"/>
  <c r="N29" i="2"/>
  <c r="O29" i="2"/>
  <c r="E30" i="2"/>
  <c r="M30" i="2"/>
  <c r="N30" i="2"/>
  <c r="O30" i="2"/>
  <c r="E31" i="2"/>
  <c r="M31" i="2"/>
  <c r="N31" i="2"/>
  <c r="O31" i="2"/>
  <c r="E32" i="2"/>
  <c r="M32" i="2"/>
  <c r="N32" i="2"/>
  <c r="O32" i="2"/>
  <c r="E33" i="2"/>
  <c r="M33" i="2"/>
  <c r="N33" i="2"/>
  <c r="O33" i="2"/>
  <c r="E34" i="2"/>
  <c r="M34" i="2"/>
  <c r="N34" i="2"/>
  <c r="O34" i="2"/>
  <c r="E35" i="2"/>
  <c r="M35" i="2"/>
  <c r="N35" i="2"/>
  <c r="O35" i="2"/>
  <c r="E24" i="2"/>
  <c r="M24" i="2"/>
  <c r="N24" i="2"/>
  <c r="O24" i="2"/>
  <c r="E25" i="2"/>
  <c r="M25" i="2"/>
  <c r="O25" i="2"/>
  <c r="E26" i="2"/>
  <c r="M26" i="2"/>
  <c r="N26" i="2"/>
  <c r="O26" i="2"/>
  <c r="E27" i="2"/>
  <c r="M27" i="2"/>
  <c r="N27" i="2"/>
  <c r="O27" i="2"/>
  <c r="E23" i="2"/>
  <c r="M23" i="2"/>
  <c r="N23" i="2"/>
  <c r="O23" i="2"/>
  <c r="O19" i="2"/>
  <c r="O20" i="2"/>
  <c r="O21" i="2"/>
  <c r="O22" i="2"/>
  <c r="N19" i="2"/>
  <c r="N20" i="2"/>
  <c r="N21" i="2"/>
  <c r="N22" i="2"/>
  <c r="N18" i="2"/>
  <c r="O18" i="2"/>
  <c r="K42" i="3"/>
  <c r="G42" i="3"/>
  <c r="K37" i="3"/>
  <c r="H39" i="3"/>
  <c r="G36" i="3"/>
  <c r="G35" i="3"/>
  <c r="E30" i="1"/>
  <c r="E41" i="1"/>
  <c r="J12" i="3"/>
  <c r="J14" i="3"/>
  <c r="J16" i="3"/>
  <c r="J20" i="3"/>
  <c r="J22" i="3"/>
  <c r="J24" i="3"/>
  <c r="J11" i="3"/>
  <c r="J13" i="3"/>
  <c r="J15" i="3"/>
  <c r="J17" i="3"/>
  <c r="J19" i="3"/>
  <c r="J21" i="3"/>
  <c r="J23" i="3"/>
  <c r="J10" i="3"/>
  <c r="F28" i="1"/>
  <c r="K47" i="1"/>
  <c r="K19" i="5"/>
  <c r="H41" i="1"/>
  <c r="H42" i="1"/>
  <c r="H43" i="1"/>
  <c r="H58" i="1"/>
  <c r="K44" i="1"/>
  <c r="B41" i="1"/>
  <c r="E39" i="1"/>
  <c r="E34" i="1"/>
  <c r="E37" i="1"/>
  <c r="C29" i="3"/>
  <c r="E29" i="1"/>
  <c r="E28" i="1"/>
  <c r="E32" i="1"/>
  <c r="E35" i="1"/>
  <c r="E24" i="1"/>
  <c r="B39" i="1"/>
  <c r="B28" i="1"/>
  <c r="G39" i="3"/>
  <c r="F29" i="1"/>
  <c r="J46" i="5"/>
  <c r="J45" i="5"/>
  <c r="J35" i="5"/>
  <c r="K45" i="1"/>
  <c r="C28" i="1"/>
  <c r="F41" i="1"/>
  <c r="E21" i="2"/>
  <c r="M21" i="2"/>
  <c r="E22" i="2"/>
  <c r="M22" i="2"/>
  <c r="E20" i="2"/>
  <c r="M20" i="2"/>
  <c r="E19" i="2"/>
  <c r="M19" i="2"/>
  <c r="E18" i="2"/>
  <c r="M18" i="2"/>
  <c r="U28" i="3"/>
  <c r="K48" i="1"/>
  <c r="J19" i="5"/>
  <c r="O2" i="3"/>
  <c r="S2" i="3"/>
  <c r="O4" i="3"/>
  <c r="AA10" i="3"/>
  <c r="B51" i="1"/>
  <c r="M10" i="3"/>
  <c r="AA11" i="3"/>
  <c r="B52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N30" i="1"/>
  <c r="N29" i="1"/>
  <c r="AA12" i="3"/>
  <c r="B53" i="1"/>
  <c r="K40" i="5"/>
  <c r="L43" i="5"/>
  <c r="I16" i="5"/>
  <c r="I15" i="5"/>
  <c r="I14" i="5"/>
  <c r="I13" i="5"/>
  <c r="L53" i="5"/>
  <c r="L52" i="5"/>
  <c r="L51" i="5"/>
  <c r="J31" i="5"/>
  <c r="L50" i="5"/>
  <c r="L49" i="5"/>
  <c r="AA13" i="3"/>
  <c r="B54" i="1"/>
  <c r="L123" i="2"/>
  <c r="AA14" i="3"/>
  <c r="B55" i="1"/>
  <c r="H138" i="2"/>
  <c r="I138" i="2"/>
  <c r="AA15" i="3"/>
  <c r="B56" i="1"/>
  <c r="F130" i="2"/>
  <c r="G149" i="2"/>
  <c r="G143" i="2"/>
  <c r="F127" i="2"/>
  <c r="H127" i="2"/>
  <c r="H65" i="2"/>
  <c r="H66" i="2"/>
  <c r="H64" i="2"/>
  <c r="G72" i="2"/>
  <c r="H72" i="2"/>
  <c r="H69" i="2"/>
  <c r="B75" i="2"/>
  <c r="B77" i="2"/>
  <c r="G70" i="2"/>
  <c r="B85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94" i="2"/>
  <c r="K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94" i="2"/>
  <c r="H94" i="2"/>
  <c r="AA16" i="3"/>
  <c r="B57" i="1"/>
  <c r="H130" i="2"/>
  <c r="G130" i="2"/>
  <c r="H131" i="2"/>
  <c r="G131" i="2"/>
  <c r="I131" i="2"/>
  <c r="G127" i="2"/>
  <c r="H128" i="2"/>
  <c r="G128" i="2"/>
  <c r="H70" i="2"/>
  <c r="M12" i="2"/>
  <c r="M13" i="2"/>
  <c r="M14" i="2"/>
  <c r="M15" i="2"/>
  <c r="M16" i="2"/>
  <c r="M17" i="2"/>
  <c r="M7" i="2"/>
  <c r="E12" i="2"/>
  <c r="E13" i="2"/>
  <c r="E14" i="2"/>
  <c r="E15" i="2"/>
  <c r="E16" i="2"/>
  <c r="E17" i="2"/>
  <c r="E7" i="2"/>
  <c r="AA17" i="3"/>
  <c r="B58" i="1"/>
  <c r="I128" i="2"/>
  <c r="K131" i="2"/>
  <c r="L131" i="2"/>
  <c r="AA18" i="3"/>
  <c r="B59" i="1"/>
  <c r="J48" i="5"/>
  <c r="J47" i="5"/>
  <c r="L46" i="5"/>
  <c r="K22" i="5"/>
  <c r="J18" i="5"/>
  <c r="L16" i="5"/>
  <c r="L15" i="5"/>
  <c r="L14" i="5"/>
  <c r="L13" i="5"/>
  <c r="D54" i="5"/>
  <c r="B53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E20" i="5"/>
  <c r="E19" i="5"/>
  <c r="E18" i="5"/>
  <c r="E17" i="5"/>
  <c r="E16" i="5"/>
  <c r="E15" i="5"/>
  <c r="E14" i="5"/>
  <c r="E13" i="5"/>
  <c r="E12" i="5"/>
  <c r="E11" i="5"/>
  <c r="E10" i="5"/>
  <c r="C31" i="1"/>
  <c r="D11" i="3"/>
  <c r="C55" i="5"/>
  <c r="AA19" i="3"/>
  <c r="B60" i="1"/>
  <c r="D10" i="3"/>
  <c r="O10" i="3"/>
  <c r="H18" i="3"/>
  <c r="O11" i="3"/>
  <c r="H19" i="3"/>
  <c r="O12" i="3"/>
  <c r="L45" i="5"/>
  <c r="L48" i="5"/>
  <c r="K46" i="5"/>
  <c r="L47" i="5"/>
  <c r="K48" i="5"/>
  <c r="K47" i="5"/>
  <c r="L40" i="5"/>
  <c r="K45" i="5"/>
  <c r="D12" i="3"/>
  <c r="AA20" i="3"/>
  <c r="B61" i="1"/>
  <c r="Q10" i="3"/>
  <c r="AB10" i="3"/>
  <c r="C51" i="1"/>
  <c r="Q11" i="3"/>
  <c r="P11" i="3"/>
  <c r="Q12" i="3"/>
  <c r="AB12" i="3"/>
  <c r="C53" i="1"/>
  <c r="I20" i="3"/>
  <c r="C35" i="1"/>
  <c r="F35" i="1"/>
  <c r="E11" i="3"/>
  <c r="O25" i="3"/>
  <c r="P12" i="3"/>
  <c r="AA21" i="3"/>
  <c r="B62" i="1"/>
  <c r="AB11" i="3"/>
  <c r="C52" i="1"/>
  <c r="Q25" i="3"/>
  <c r="AB25" i="3"/>
  <c r="P10" i="3"/>
  <c r="E21" i="1"/>
  <c r="E23" i="1"/>
  <c r="E20" i="1"/>
  <c r="E22" i="1"/>
  <c r="C52" i="3"/>
  <c r="G52" i="3"/>
  <c r="G53" i="3"/>
  <c r="K52" i="3"/>
  <c r="M52" i="3"/>
  <c r="K53" i="3"/>
  <c r="K29" i="3"/>
  <c r="AA22" i="3"/>
  <c r="G40" i="3"/>
  <c r="G41" i="3"/>
  <c r="B26" i="3"/>
  <c r="B27" i="3"/>
  <c r="B28" i="3"/>
  <c r="G29" i="3"/>
  <c r="G30" i="3"/>
  <c r="J32" i="5"/>
  <c r="D50" i="3"/>
  <c r="D51" i="3"/>
  <c r="C55" i="3"/>
  <c r="C59" i="3"/>
  <c r="AA24" i="3"/>
  <c r="AA23" i="3"/>
  <c r="D38" i="3"/>
  <c r="D39" i="3"/>
  <c r="O3" i="3"/>
  <c r="D18" i="3"/>
  <c r="N32" i="1"/>
  <c r="J34" i="5"/>
  <c r="J58" i="1"/>
  <c r="J59" i="1"/>
  <c r="J22" i="5"/>
  <c r="L22" i="5"/>
  <c r="K50" i="1"/>
  <c r="J25" i="5"/>
  <c r="K25" i="3"/>
  <c r="I24" i="5"/>
  <c r="K24" i="5"/>
  <c r="D19" i="3"/>
  <c r="D20" i="3"/>
  <c r="S7" i="3"/>
  <c r="Q3" i="3"/>
  <c r="K35" i="5"/>
  <c r="L35" i="5"/>
  <c r="L59" i="1"/>
  <c r="K59" i="1"/>
  <c r="I25" i="5"/>
  <c r="K51" i="1"/>
  <c r="C30" i="1"/>
  <c r="F30" i="1"/>
  <c r="D21" i="3"/>
  <c r="F32" i="1"/>
  <c r="W6" i="3"/>
  <c r="K52" i="1"/>
  <c r="K25" i="5"/>
  <c r="R7" i="3"/>
  <c r="C32" i="1"/>
  <c r="K34" i="5"/>
  <c r="L34" i="5"/>
  <c r="K58" i="1"/>
  <c r="S11" i="3"/>
  <c r="R25" i="3"/>
  <c r="B3" i="1"/>
  <c r="C39" i="1"/>
  <c r="C44" i="1" s="1"/>
  <c r="V10" i="3"/>
  <c r="L36" i="5"/>
  <c r="L58" i="1"/>
  <c r="T6" i="3"/>
  <c r="X10" i="3"/>
  <c r="L37" i="5"/>
  <c r="L61" i="1"/>
  <c r="L60" i="1"/>
  <c r="Z10" i="3"/>
  <c r="AC10" i="3"/>
  <c r="D51" i="1"/>
  <c r="V11" i="3"/>
  <c r="Y10" i="3"/>
  <c r="W10" i="3"/>
  <c r="X11" i="3"/>
  <c r="AC11" i="3"/>
  <c r="AD11" i="3"/>
  <c r="Y11" i="3"/>
  <c r="V12" i="3"/>
  <c r="Z11" i="3"/>
  <c r="W11" i="3"/>
  <c r="AD10" i="3"/>
  <c r="AE10" i="3"/>
  <c r="V13" i="3"/>
  <c r="X12" i="3"/>
  <c r="D52" i="1"/>
  <c r="E52" i="1"/>
  <c r="F52" i="1"/>
  <c r="W12" i="3"/>
  <c r="AC12" i="3"/>
  <c r="AD12" i="3"/>
  <c r="AE11" i="3"/>
  <c r="Z12" i="3"/>
  <c r="Y12" i="3"/>
  <c r="E51" i="1"/>
  <c r="X13" i="3"/>
  <c r="AC13" i="3"/>
  <c r="AD13" i="3"/>
  <c r="AE12" i="3"/>
  <c r="Z13" i="3"/>
  <c r="Y13" i="3"/>
  <c r="W13" i="3"/>
  <c r="D53" i="1"/>
  <c r="E53" i="1"/>
  <c r="F53" i="1"/>
  <c r="F51" i="1"/>
  <c r="V14" i="3"/>
  <c r="V15" i="3"/>
  <c r="X14" i="3"/>
  <c r="D54" i="1"/>
  <c r="E54" i="1"/>
  <c r="F54" i="1"/>
  <c r="AC14" i="3"/>
  <c r="Z14" i="3"/>
  <c r="W14" i="3"/>
  <c r="Y14" i="3"/>
  <c r="X15" i="3"/>
  <c r="Z15" i="3"/>
  <c r="W15" i="3"/>
  <c r="AC15" i="3"/>
  <c r="AD15" i="3"/>
  <c r="Y15" i="3"/>
  <c r="AD14" i="3"/>
  <c r="AE13" i="3"/>
  <c r="D55" i="1"/>
  <c r="V16" i="3"/>
  <c r="V17" i="3"/>
  <c r="X16" i="3"/>
  <c r="D56" i="1"/>
  <c r="E56" i="1"/>
  <c r="F56" i="1"/>
  <c r="AE14" i="3"/>
  <c r="E55" i="1"/>
  <c r="F55" i="1"/>
  <c r="AC16" i="3"/>
  <c r="Y16" i="3"/>
  <c r="Z16" i="3"/>
  <c r="W16" i="3"/>
  <c r="X17" i="3"/>
  <c r="W17" i="3"/>
  <c r="AC17" i="3"/>
  <c r="D58" i="1"/>
  <c r="E58" i="1"/>
  <c r="F58" i="1"/>
  <c r="Z17" i="3"/>
  <c r="Y17" i="3"/>
  <c r="V18" i="3"/>
  <c r="AD16" i="3"/>
  <c r="AE15" i="3"/>
  <c r="D57" i="1"/>
  <c r="V19" i="3"/>
  <c r="X18" i="3"/>
  <c r="AD17" i="3"/>
  <c r="AE16" i="3"/>
  <c r="W18" i="3"/>
  <c r="AC18" i="3"/>
  <c r="D59" i="1"/>
  <c r="E59" i="1"/>
  <c r="F59" i="1"/>
  <c r="Z18" i="3"/>
  <c r="Y18" i="3"/>
  <c r="E57" i="1"/>
  <c r="F57" i="1"/>
  <c r="X19" i="3"/>
  <c r="AC19" i="3"/>
  <c r="AD19" i="3"/>
  <c r="Z19" i="3"/>
  <c r="Y19" i="3"/>
  <c r="W19" i="3"/>
  <c r="V21" i="3"/>
  <c r="AD18" i="3"/>
  <c r="AE17" i="3"/>
  <c r="V20" i="3"/>
  <c r="X21" i="3"/>
  <c r="X20" i="3"/>
  <c r="D60" i="1"/>
  <c r="E60" i="1"/>
  <c r="F60" i="1"/>
  <c r="AE18" i="3"/>
  <c r="AC21" i="3"/>
  <c r="AC20" i="3"/>
  <c r="Z20" i="3"/>
  <c r="Y20" i="3"/>
  <c r="W20" i="3"/>
  <c r="Z21" i="3"/>
  <c r="V22" i="3"/>
  <c r="W21" i="3"/>
  <c r="Y21" i="3"/>
  <c r="X22" i="3"/>
  <c r="AD21" i="3"/>
  <c r="D62" i="1"/>
  <c r="AD20" i="3"/>
  <c r="AE19" i="3"/>
  <c r="D61" i="1"/>
  <c r="E61" i="1"/>
  <c r="F61" i="1"/>
  <c r="AC22" i="3"/>
  <c r="AD22" i="3"/>
  <c r="Z22" i="3"/>
  <c r="V23" i="3"/>
  <c r="W22" i="3"/>
  <c r="Y22" i="3"/>
  <c r="X23" i="3"/>
  <c r="AE21" i="3"/>
  <c r="AE20" i="3"/>
  <c r="E62" i="1"/>
  <c r="F62" i="1"/>
  <c r="AC23" i="3"/>
  <c r="AD23" i="3"/>
  <c r="AE22" i="3"/>
  <c r="Z23" i="3"/>
  <c r="V24" i="3"/>
  <c r="W23" i="3"/>
  <c r="Y23" i="3"/>
  <c r="X24" i="3"/>
  <c r="AC24" i="3"/>
  <c r="AD24" i="3"/>
  <c r="AE23" i="3"/>
  <c r="Z24" i="3"/>
  <c r="Z25" i="3"/>
  <c r="F34" i="1"/>
  <c r="X25" i="3"/>
  <c r="AC25" i="3"/>
  <c r="AD25" i="3"/>
  <c r="W24" i="3"/>
  <c r="Y24" i="3"/>
  <c r="AE24" i="3"/>
  <c r="Y25" i="3"/>
  <c r="F37" i="1"/>
  <c r="F39" i="1"/>
  <c r="Y27" i="3"/>
  <c r="C41" i="1"/>
  <c r="F44" i="1"/>
  <c r="J15" i="1" l="1"/>
  <c r="I9" i="3"/>
  <c r="D22" i="3"/>
  <c r="D23" i="3" l="1"/>
  <c r="D24" i="3" s="1"/>
  <c r="C34" i="1" l="1"/>
  <c r="C37" i="1" s="1"/>
  <c r="I21" i="3"/>
</calcChain>
</file>

<file path=xl/sharedStrings.xml><?xml version="1.0" encoding="utf-8"?>
<sst xmlns="http://schemas.openxmlformats.org/spreadsheetml/2006/main" count="420" uniqueCount="274">
  <si>
    <t>generación</t>
  </si>
  <si>
    <t>%SR</t>
  </si>
  <si>
    <t>edad</t>
  </si>
  <si>
    <t>hasta</t>
  </si>
  <si>
    <t>horizonte</t>
  </si>
  <si>
    <t>convenio</t>
  </si>
  <si>
    <t>PRIMAS</t>
  </si>
  <si>
    <t>nacimiento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</si>
  <si>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</si>
  <si>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</si>
  <si>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</si>
  <si>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</si>
  <si>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</si>
  <si>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</si>
  <si>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</si>
  <si>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</si>
  <si>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</si>
  <si>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</si>
  <si>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</si>
  <si>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</si>
  <si>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nivel</t>
  </si>
  <si>
    <t>plus</t>
  </si>
  <si>
    <t>COLECTIVO:</t>
  </si>
  <si>
    <t>A</t>
  </si>
  <si>
    <t>B</t>
  </si>
  <si>
    <t>C</t>
  </si>
  <si>
    <t>importe</t>
  </si>
  <si>
    <t>Convenio</t>
  </si>
  <si>
    <t>no</t>
  </si>
  <si>
    <t>Aportaciones</t>
  </si>
  <si>
    <t>sí</t>
  </si>
  <si>
    <t>adeslas</t>
  </si>
  <si>
    <t>Indemnización:</t>
  </si>
  <si>
    <t>Adeslas:</t>
  </si>
  <si>
    <t>deduc. progr</t>
  </si>
  <si>
    <t>total ingres.</t>
  </si>
  <si>
    <t>desempleo</t>
  </si>
  <si>
    <t>coste convenio SS</t>
  </si>
  <si>
    <t>hijos</t>
  </si>
  <si>
    <t>base máxima</t>
  </si>
  <si>
    <t>trabajador</t>
  </si>
  <si>
    <t>deducción pormínimos personales</t>
  </si>
  <si>
    <t>mínimo personal</t>
  </si>
  <si>
    <t>deducción rtos.trabajo</t>
  </si>
  <si>
    <t>parO/mes</t>
  </si>
  <si>
    <t>Salario mensual:</t>
  </si>
  <si>
    <t>Seguridad social:</t>
  </si>
  <si>
    <t>IRPF:</t>
  </si>
  <si>
    <t>Salario mensual neto:</t>
  </si>
  <si>
    <t>Indemnización total bruta:</t>
  </si>
  <si>
    <t>salario hasta</t>
  </si>
  <si>
    <t>Exención Fiscal:</t>
  </si>
  <si>
    <t>Deducción por r. irregular:</t>
  </si>
  <si>
    <t>Estimación IRPF:</t>
  </si>
  <si>
    <t>Indemnización total neta:</t>
  </si>
  <si>
    <t>desempleo bruto:</t>
  </si>
  <si>
    <t>INDEMN Y DESEM. NETOS</t>
  </si>
  <si>
    <t>edad ordinaria de jubilación tras el RD: ESCALA DE PROGREVIDAD</t>
  </si>
  <si>
    <t>año</t>
  </si>
  <si>
    <t>cotización</t>
  </si>
  <si>
    <t>igual o sup.</t>
  </si>
  <si>
    <t>inferior</t>
  </si>
  <si>
    <t>65 años y 5 meses</t>
  </si>
  <si>
    <t>65 años y 6 meses</t>
  </si>
  <si>
    <t>65 años y 8 meses</t>
  </si>
  <si>
    <t>65 años y 10 meses</t>
  </si>
  <si>
    <t>66 años</t>
  </si>
  <si>
    <t>66 años y 2 meses</t>
  </si>
  <si>
    <t>66 años y 4 meses</t>
  </si>
  <si>
    <t>66 años y 6 meses</t>
  </si>
  <si>
    <t>66 años y 8 meses</t>
  </si>
  <si>
    <t>66 años y 10 meses</t>
  </si>
  <si>
    <t>67 años</t>
  </si>
  <si>
    <t>cálculo de la pensión a partir de la reforma</t>
  </si>
  <si>
    <t>años cotizados</t>
  </si>
  <si>
    <t>% Base reguladora</t>
  </si>
  <si>
    <t>cada mes adicional</t>
  </si>
  <si>
    <t>salida</t>
  </si>
  <si>
    <t>durac.conv.</t>
  </si>
  <si>
    <t>cálculo aproximado de fecha de jubilación e importe</t>
  </si>
  <si>
    <t>fecha nacimiento</t>
  </si>
  <si>
    <t>años cotizados al</t>
  </si>
  <si>
    <t>edad ordinaria de jubilación</t>
  </si>
  <si>
    <t>coeficientes reductores sobre la Base Reguladora</t>
  </si>
  <si>
    <t>cotización superior a</t>
  </si>
  <si>
    <t>jubilación anticipada</t>
  </si>
  <si>
    <t>menos</t>
  </si>
  <si>
    <r>
      <t>post reforma</t>
    </r>
    <r>
      <rPr>
        <b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(coeficientes por trimestre de adelanto)</t>
    </r>
  </si>
  <si>
    <t>años anticipados</t>
  </si>
  <si>
    <t>trimestres anticipados</t>
  </si>
  <si>
    <t>más de</t>
  </si>
  <si>
    <t>pension máxima</t>
  </si>
  <si>
    <t>base reguladora máxima</t>
  </si>
  <si>
    <t>crecimientos al 1%</t>
  </si>
  <si>
    <t>s/ p. maxima</t>
  </si>
  <si>
    <t>s/ b. reguladora</t>
  </si>
  <si>
    <t>Pensión aproximada sobre tabla actuales</t>
  </si>
  <si>
    <t>en el supuesto de máximas cotizaciones de forma continuada</t>
  </si>
  <si>
    <t>coeficiente reductor</t>
  </si>
  <si>
    <t>reduccion</t>
  </si>
  <si>
    <t>base reguladora</t>
  </si>
  <si>
    <t xml:space="preserve">   pension anual estimada:</t>
  </si>
  <si>
    <t>14 pagas</t>
  </si>
  <si>
    <t>pensión máxima</t>
  </si>
  <si>
    <t xml:space="preserve">ERE CAIXABANK </t>
  </si>
  <si>
    <t>Columna1</t>
  </si>
  <si>
    <t>]+M53c</t>
  </si>
  <si>
    <t>prestación desempleo</t>
  </si>
  <si>
    <t>días cotiz.</t>
  </si>
  <si>
    <t>meses cotº</t>
  </si>
  <si>
    <t>años cotiz</t>
  </si>
  <si>
    <t>prestación días</t>
  </si>
  <si>
    <t>meses</t>
  </si>
  <si>
    <t>años</t>
  </si>
  <si>
    <t>empresa</t>
  </si>
  <si>
    <t>mes</t>
  </si>
  <si>
    <t>exclusión de la oblicación de retener</t>
  </si>
  <si>
    <t>hijos &lt;25</t>
  </si>
  <si>
    <t>2 o más</t>
  </si>
  <si>
    <t>soltero, viudo, divociado</t>
  </si>
  <si>
    <t>cónyuge con rentas inferiores a 1500</t>
  </si>
  <si>
    <t>resto</t>
  </si>
  <si>
    <t>cuota</t>
  </si>
  <si>
    <t>tipo</t>
  </si>
  <si>
    <t>en adelante</t>
  </si>
  <si>
    <t>tabla retenciones</t>
  </si>
  <si>
    <t>rendimientos</t>
  </si>
  <si>
    <t>cotizaciones</t>
  </si>
  <si>
    <t>general</t>
  </si>
  <si>
    <t>desempleados</t>
  </si>
  <si>
    <t>rtos.trabajo</t>
  </si>
  <si>
    <t>míimos</t>
  </si>
  <si>
    <t>prejubilaciones ERE CaixaBank 2019</t>
  </si>
  <si>
    <t>ERE CAIXABANK 2019</t>
  </si>
  <si>
    <t>año 0</t>
  </si>
  <si>
    <t>año 1</t>
  </si>
  <si>
    <t>año 2</t>
  </si>
  <si>
    <t>bruto</t>
  </si>
  <si>
    <t>anual</t>
  </si>
  <si>
    <t>RENTA</t>
  </si>
  <si>
    <t>interés renta</t>
  </si>
  <si>
    <t>Tipo desempleo</t>
  </si>
  <si>
    <t>Desempleo</t>
  </si>
  <si>
    <t>Renta</t>
  </si>
  <si>
    <t>Exento Pdte</t>
  </si>
  <si>
    <t>Reducción</t>
  </si>
  <si>
    <t>irpf renta</t>
  </si>
  <si>
    <t>Año</t>
  </si>
  <si>
    <t>Meses Renta</t>
  </si>
  <si>
    <t>%ret</t>
  </si>
  <si>
    <t>Renta Mensual</t>
  </si>
  <si>
    <t>% renta</t>
  </si>
  <si>
    <t>Exento</t>
  </si>
  <si>
    <t>Meses Primer año</t>
  </si>
  <si>
    <t>Mes Cumple</t>
  </si>
  <si>
    <t>Neto anual</t>
  </si>
  <si>
    <t>Tributa</t>
  </si>
  <si>
    <t>última exención</t>
  </si>
  <si>
    <t>mínimo</t>
  </si>
  <si>
    <t>irpf estimado</t>
  </si>
  <si>
    <t>diasc</t>
  </si>
  <si>
    <t>días x año</t>
  </si>
  <si>
    <t>máximo</t>
  </si>
  <si>
    <t>dias</t>
  </si>
  <si>
    <t>min</t>
  </si>
  <si>
    <t>max</t>
  </si>
  <si>
    <t>SRD</t>
  </si>
  <si>
    <t>dias indem</t>
  </si>
  <si>
    <t>indem C</t>
  </si>
  <si>
    <t>dias tras techo y suelo</t>
  </si>
  <si>
    <t>maxaños</t>
  </si>
  <si>
    <t>%cálculo</t>
  </si>
  <si>
    <t>añoFin</t>
  </si>
  <si>
    <t>fechaFin</t>
  </si>
  <si>
    <t>mesesHastaFin</t>
  </si>
  <si>
    <t>SR Año</t>
  </si>
  <si>
    <t>indemnización</t>
  </si>
  <si>
    <t>Prima</t>
  </si>
  <si>
    <t>%calculo</t>
  </si>
  <si>
    <t>FechaFin</t>
  </si>
  <si>
    <t>MesesHastaFin</t>
  </si>
  <si>
    <t>SR</t>
  </si>
  <si>
    <t>Indemn</t>
  </si>
  <si>
    <t>Renta hasta año</t>
  </si>
  <si>
    <t>Suma Neta</t>
  </si>
  <si>
    <t>Renta Neta</t>
  </si>
  <si>
    <t>Inem Neto</t>
  </si>
  <si>
    <t>Neto Mes</t>
  </si>
  <si>
    <t>renta</t>
  </si>
  <si>
    <t>RentadoC</t>
  </si>
  <si>
    <t>Mostrar</t>
  </si>
  <si>
    <t>No_mostrar</t>
  </si>
  <si>
    <t>mensual</t>
  </si>
  <si>
    <t>Base Acumulada</t>
  </si>
  <si>
    <t>bonus</t>
  </si>
  <si>
    <t>menos exención</t>
  </si>
  <si>
    <t>menos deducción</t>
  </si>
  <si>
    <t>Irpf suma o resta</t>
  </si>
  <si>
    <t>indemnización forzosa</t>
  </si>
  <si>
    <t>sobre neto estimado actual</t>
  </si>
  <si>
    <t>abril</t>
  </si>
  <si>
    <t>octubre</t>
  </si>
  <si>
    <t>retenciones y ss</t>
  </si>
  <si>
    <t>Irpf Inem y ss</t>
  </si>
  <si>
    <t>SI(colectivo="C";96;SI(Rentado;96;SIFECHA(cálculo;FECHA(AÑO(naci)+O1;MES(naci);DIA(naci));"m"))+1) (o6)</t>
  </si>
  <si>
    <t>DIAS</t>
  </si>
  <si>
    <t>AÑOS</t>
  </si>
  <si>
    <t>RENTAS</t>
  </si>
  <si>
    <t>RATIO</t>
  </si>
  <si>
    <t>REDUCTOR</t>
  </si>
  <si>
    <t>naixement</t>
  </si>
  <si>
    <t>antiguitat</t>
  </si>
  <si>
    <t>data extinció</t>
  </si>
  <si>
    <t>COL.LECTIU:</t>
  </si>
  <si>
    <t>Núm.fills</t>
  </si>
  <si>
    <t>NÒMINA:</t>
  </si>
  <si>
    <t>Nivell</t>
  </si>
  <si>
    <t>Mes Nòmina</t>
  </si>
  <si>
    <t>CALCULADORA ERO 2019</t>
  </si>
  <si>
    <t>aportació</t>
  </si>
  <si>
    <t>Quota Acumulada</t>
  </si>
  <si>
    <t>CONDICIONS</t>
  </si>
  <si>
    <t>Pagament únic</t>
  </si>
  <si>
    <t>Pagament Fraccionat</t>
  </si>
  <si>
    <t>SALARIS:</t>
  </si>
  <si>
    <t>plus conveni</t>
  </si>
  <si>
    <t>Indemnització</t>
  </si>
  <si>
    <t>Conveni amb la SS:</t>
  </si>
  <si>
    <t>Aportacions Pla:</t>
  </si>
  <si>
    <t>Prima (cas cobrament renta)</t>
  </si>
  <si>
    <t>ingressos anuals</t>
  </si>
  <si>
    <t>premis</t>
  </si>
  <si>
    <t>salari en espècie (suma anual)</t>
  </si>
  <si>
    <t>SALARI INDEMNIZATORI:</t>
  </si>
  <si>
    <t>adeqüació progressiva anualitzada</t>
  </si>
  <si>
    <t xml:space="preserve">45 días/any fins </t>
  </si>
  <si>
    <t xml:space="preserve">33 dias any des de </t>
  </si>
  <si>
    <t>dias  exenció:</t>
  </si>
  <si>
    <t>exempt fiscalment:</t>
  </si>
  <si>
    <t>Any</t>
  </si>
  <si>
    <t>Atur Net</t>
  </si>
  <si>
    <t>Renda Neta</t>
  </si>
  <si>
    <t>Net Mes</t>
  </si>
  <si>
    <t xml:space="preserve">Estimació basada en les dades introduïdes d'una nòmina. </t>
  </si>
  <si>
    <t>La quantitat definitiva es calcularà amb les dades de les 12 nòmines anteriors a la data d'extinció.</t>
  </si>
  <si>
    <t>Per al càlcul de la pensió s'ha estimat una revalorització de bases de cotització i pensió màxima a l'1%.</t>
  </si>
  <si>
    <t>Els càlculs d'IRPF s'han realitzat amb la taula de retencions actual (maig 2019).</t>
  </si>
  <si>
    <t>Tota la simulació s'ha realitzat tenint en compte la legislació actual (maig 2019).</t>
  </si>
  <si>
    <t>DATES:</t>
  </si>
  <si>
    <t>SALARI REGULADOR:</t>
  </si>
  <si>
    <t>Indemnizatció</t>
  </si>
  <si>
    <t>Atur 24 meses</t>
  </si>
  <si>
    <t>Indemnizatció  Neta</t>
  </si>
  <si>
    <t>Atur net</t>
  </si>
  <si>
    <t>Suma Bruts</t>
  </si>
  <si>
    <t>gener</t>
  </si>
  <si>
    <t>febrer</t>
  </si>
  <si>
    <t>març</t>
  </si>
  <si>
    <t>maig</t>
  </si>
  <si>
    <t>juny</t>
  </si>
  <si>
    <t>juliol</t>
  </si>
  <si>
    <t>agost</t>
  </si>
  <si>
    <t>novembre</t>
  </si>
  <si>
    <t>setembre</t>
  </si>
  <si>
    <t>desembre</t>
  </si>
  <si>
    <t>ESQUEMA COMBINAT RENDA/ATUR</t>
  </si>
  <si>
    <t>57% del Salari Regulador fins als 63</t>
  </si>
  <si>
    <t>Renda fins els 63 anys</t>
  </si>
  <si>
    <t>8 anualitats al 57% del Salari Regulador</t>
  </si>
  <si>
    <t>45 dias per any (mínim 36 meses màxim 42)</t>
  </si>
  <si>
    <t>fins als 63 revaloritzable fins un límit del 3%</t>
  </si>
  <si>
    <t>pòlissa beneficiaris</t>
  </si>
  <si>
    <t>V-05cat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</si>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</sst>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€&quot;#,##0.00_);[Red]\(&quot;€&quot;#,##0.00\)"/>
    <numFmt numFmtId="165" formatCode="_(* #,##0.00_);_(* \(#,##0.00\);_(* &quot;-&quot;??_);_(@_)"/>
    <numFmt numFmtId="166" formatCode="_-* #,##0\ _€_-;\-* #,##0\ _€_-;_-* &quot;-&quot;??\ _€_-;_-@_-"/>
    <numFmt numFmtId="167" formatCode="#,##0.00\ &quot;€&quot;"/>
    <numFmt numFmtId="168" formatCode="0.000%"/>
    <numFmt numFmtId="169" formatCode="0.0"/>
    <numFmt numFmtId="170" formatCode="#,##0\ &quot;€&quot;"/>
    <numFmt numFmtId="171" formatCode="#,##0.00\ _€"/>
    <numFmt numFmtId="172" formatCode="0.0%"/>
  </numFmts>
  <fonts count="4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</font>
    <font>
      <b/>
      <sz val="22"/>
      <color rgb="FFC00000"/>
      <name val="Calibri"/>
      <family val="2"/>
    </font>
    <font>
      <i/>
      <sz val="10"/>
      <color theme="8" tint="-0.499984740745262"/>
      <name val="Calibri"/>
      <family val="2"/>
    </font>
    <font>
      <b/>
      <u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002060"/>
      <name val="Calibri"/>
      <family val="2"/>
    </font>
    <font>
      <b/>
      <i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rgb="FFFF0000"/>
      <name val="Calibri"/>
      <family val="2"/>
    </font>
    <font>
      <sz val="8"/>
      <color rgb="FF000000"/>
      <name val="Segoe UI"/>
      <family val="2"/>
    </font>
    <font>
      <sz val="20"/>
      <color theme="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rgb="FF002060"/>
      <name val="Calibri"/>
      <family val="2"/>
    </font>
    <font>
      <b/>
      <sz val="10"/>
      <color rgb="FFFF0000"/>
      <name val="Calibri"/>
      <family val="2"/>
    </font>
    <font>
      <sz val="10"/>
      <color theme="0" tint="-4.9989318521683403E-2"/>
      <name val="Calibri"/>
      <family val="2"/>
    </font>
    <font>
      <u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8"/>
      <name val="Tahoma"/>
      <family val="2"/>
    </font>
    <font>
      <b/>
      <sz val="12"/>
      <color rgb="FFFF0000"/>
      <name val="Calibri"/>
      <family val="2"/>
    </font>
    <font>
      <b/>
      <sz val="7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2" tint="-0.249977111117893"/>
      <name val="Calibri"/>
      <family val="2"/>
    </font>
    <font>
      <b/>
      <i/>
      <sz val="10"/>
      <color rgb="FFFF0000"/>
      <name val="Calibri"/>
      <family val="2"/>
    </font>
    <font>
      <sz val="10"/>
      <color theme="0" tint="-0.34998626667073579"/>
      <name val="Calibri"/>
      <family val="2"/>
    </font>
    <font>
      <sz val="10"/>
      <color rgb="FFFF0000"/>
      <name val="Calibri"/>
      <family val="2"/>
    </font>
    <font>
      <i/>
      <sz val="9"/>
      <color theme="1"/>
      <name val="Calibri"/>
      <family val="2"/>
    </font>
    <font>
      <b/>
      <u/>
      <sz val="10"/>
      <color rgb="FF00206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0">
    <xf numFmtId="0" fontId="0" fillId="0" borderId="0" xfId="0"/>
    <xf numFmtId="0" fontId="0" fillId="2" borderId="0" xfId="0" applyFill="1"/>
    <xf numFmtId="1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/>
    <xf numFmtId="0" fontId="3" fillId="0" borderId="9" xfId="0" applyFont="1" applyBorder="1" applyAlignment="1">
      <alignment horizontal="center"/>
    </xf>
    <xf numFmtId="0" fontId="0" fillId="5" borderId="0" xfId="0" applyFill="1"/>
    <xf numFmtId="0" fontId="2" fillId="2" borderId="0" xfId="0" applyFont="1" applyFill="1"/>
    <xf numFmtId="0" fontId="0" fillId="5" borderId="0" xfId="0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167" fontId="3" fillId="5" borderId="9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3" xfId="0" applyFill="1" applyBorder="1"/>
    <xf numFmtId="2" fontId="0" fillId="2" borderId="0" xfId="0" applyNumberFormat="1" applyFill="1"/>
    <xf numFmtId="0" fontId="2" fillId="2" borderId="10" xfId="0" applyFont="1" applyFill="1" applyBorder="1"/>
    <xf numFmtId="0" fontId="2" fillId="5" borderId="10" xfId="0" applyFont="1" applyFill="1" applyBorder="1"/>
    <xf numFmtId="0" fontId="2" fillId="3" borderId="10" xfId="0" applyFont="1" applyFill="1" applyBorder="1"/>
    <xf numFmtId="0" fontId="8" fillId="2" borderId="0" xfId="0" applyFont="1" applyFill="1"/>
    <xf numFmtId="0" fontId="9" fillId="2" borderId="0" xfId="0" applyFont="1" applyFill="1"/>
    <xf numFmtId="0" fontId="2" fillId="2" borderId="11" xfId="0" applyFont="1" applyFill="1" applyBorder="1"/>
    <xf numFmtId="0" fontId="2" fillId="3" borderId="11" xfId="0" applyFont="1" applyFill="1" applyBorder="1"/>
    <xf numFmtId="4" fontId="2" fillId="3" borderId="12" xfId="0" applyNumberFormat="1" applyFont="1" applyFill="1" applyBorder="1"/>
    <xf numFmtId="4" fontId="8" fillId="2" borderId="0" xfId="0" applyNumberFormat="1" applyFont="1" applyFill="1"/>
    <xf numFmtId="4" fontId="0" fillId="2" borderId="7" xfId="0" applyNumberFormat="1" applyFill="1" applyBorder="1"/>
    <xf numFmtId="0" fontId="2" fillId="5" borderId="11" xfId="0" applyFont="1" applyFill="1" applyBorder="1"/>
    <xf numFmtId="4" fontId="2" fillId="5" borderId="12" xfId="0" applyNumberFormat="1" applyFont="1" applyFill="1" applyBorder="1"/>
    <xf numFmtId="4" fontId="2" fillId="2" borderId="12" xfId="0" applyNumberFormat="1" applyFont="1" applyFill="1" applyBorder="1"/>
    <xf numFmtId="0" fontId="10" fillId="2" borderId="0" xfId="0" applyFont="1" applyFill="1"/>
    <xf numFmtId="10" fontId="10" fillId="2" borderId="0" xfId="2" applyNumberFormat="1" applyFont="1" applyFill="1"/>
    <xf numFmtId="0" fontId="4" fillId="3" borderId="0" xfId="0" applyFont="1" applyFill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/>
    <xf numFmtId="2" fontId="9" fillId="2" borderId="0" xfId="0" applyNumberFormat="1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2" fillId="4" borderId="5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5" xfId="0" applyFont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4" borderId="3" xfId="0" applyFont="1" applyFill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" xfId="0" applyFont="1" applyBorder="1"/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4" borderId="8" xfId="0" applyFont="1" applyFill="1" applyBorder="1"/>
    <xf numFmtId="0" fontId="12" fillId="0" borderId="3" xfId="0" applyFont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2" fillId="4" borderId="8" xfId="0" applyFont="1" applyFill="1" applyBorder="1"/>
    <xf numFmtId="0" fontId="3" fillId="0" borderId="2" xfId="0" applyFont="1" applyBorder="1" applyAlignment="1">
      <alignment horizontal="center" wrapText="1"/>
    </xf>
    <xf numFmtId="10" fontId="3" fillId="4" borderId="0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68" fontId="3" fillId="0" borderId="0" xfId="2" applyNumberFormat="1" applyFont="1" applyBorder="1" applyAlignment="1">
      <alignment horizontal="center"/>
    </xf>
    <xf numFmtId="10" fontId="3" fillId="0" borderId="5" xfId="2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3" fillId="0" borderId="7" xfId="2" applyNumberFormat="1" applyFont="1" applyBorder="1" applyAlignment="1">
      <alignment horizontal="center"/>
    </xf>
    <xf numFmtId="10" fontId="3" fillId="0" borderId="8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4" fontId="13" fillId="0" borderId="9" xfId="0" applyNumberFormat="1" applyFont="1" applyBorder="1" applyAlignment="1"/>
    <xf numFmtId="0" fontId="3" fillId="0" borderId="0" xfId="0" applyFont="1" applyBorder="1" applyAlignment="1"/>
    <xf numFmtId="4" fontId="3" fillId="0" borderId="9" xfId="0" applyNumberFormat="1" applyFont="1" applyBorder="1" applyAlignment="1">
      <alignment horizontal="center" vertical="center"/>
    </xf>
    <xf numFmtId="14" fontId="13" fillId="5" borderId="0" xfId="0" applyNumberFormat="1" applyFont="1" applyFill="1" applyBorder="1" applyAlignment="1"/>
    <xf numFmtId="1" fontId="13" fillId="5" borderId="0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 vertical="center"/>
    </xf>
    <xf numFmtId="0" fontId="11" fillId="7" borderId="10" xfId="0" applyFont="1" applyFill="1" applyBorder="1" applyAlignment="1"/>
    <xf numFmtId="0" fontId="11" fillId="7" borderId="11" xfId="0" applyFont="1" applyFill="1" applyBorder="1" applyAlignment="1"/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/>
    </xf>
    <xf numFmtId="10" fontId="3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169" fontId="3" fillId="4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4" borderId="7" xfId="0" applyNumberFormat="1" applyFont="1" applyFill="1" applyBorder="1" applyAlignment="1">
      <alignment horizontal="center"/>
    </xf>
    <xf numFmtId="168" fontId="3" fillId="0" borderId="0" xfId="2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Border="1"/>
    <xf numFmtId="10" fontId="3" fillId="0" borderId="0" xfId="0" applyNumberFormat="1" applyFont="1"/>
    <xf numFmtId="2" fontId="3" fillId="0" borderId="0" xfId="0" applyNumberFormat="1" applyFont="1"/>
    <xf numFmtId="10" fontId="3" fillId="0" borderId="13" xfId="0" applyNumberFormat="1" applyFont="1" applyBorder="1" applyAlignment="1">
      <alignment horizontal="center" vertical="center"/>
    </xf>
    <xf numFmtId="167" fontId="18" fillId="0" borderId="0" xfId="2" applyNumberFormat="1" applyFont="1"/>
    <xf numFmtId="0" fontId="3" fillId="0" borderId="0" xfId="0" applyFont="1" applyAlignment="1">
      <alignment horizontal="left"/>
    </xf>
    <xf numFmtId="10" fontId="3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Border="1"/>
    <xf numFmtId="0" fontId="3" fillId="0" borderId="11" xfId="0" applyFont="1" applyBorder="1"/>
    <xf numFmtId="167" fontId="19" fillId="6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167" fontId="18" fillId="0" borderId="15" xfId="2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4" fontId="3" fillId="5" borderId="0" xfId="0" applyNumberFormat="1" applyFont="1" applyFill="1" applyBorder="1" applyAlignment="1"/>
    <xf numFmtId="0" fontId="11" fillId="7" borderId="12" xfId="0" applyFont="1" applyFill="1" applyBorder="1" applyAlignment="1"/>
    <xf numFmtId="0" fontId="3" fillId="0" borderId="3" xfId="0" applyFont="1" applyBorder="1" applyAlignment="1">
      <alignment horizontal="right"/>
    </xf>
    <xf numFmtId="168" fontId="3" fillId="4" borderId="5" xfId="2" applyNumberFormat="1" applyFont="1" applyFill="1" applyBorder="1" applyAlignment="1">
      <alignment horizontal="center"/>
    </xf>
    <xf numFmtId="168" fontId="3" fillId="0" borderId="5" xfId="2" applyNumberFormat="1" applyFont="1" applyBorder="1" applyAlignment="1">
      <alignment horizontal="center"/>
    </xf>
    <xf numFmtId="168" fontId="3" fillId="4" borderId="8" xfId="2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17" fillId="2" borderId="0" xfId="0" applyNumberFormat="1" applyFont="1" applyFill="1" applyAlignment="1">
      <alignment horizontal="center" vertical="center"/>
    </xf>
    <xf numFmtId="0" fontId="0" fillId="5" borderId="0" xfId="0" applyFill="1" applyAlignment="1"/>
    <xf numFmtId="10" fontId="0" fillId="5" borderId="0" xfId="2" applyNumberFormat="1" applyFont="1" applyFill="1"/>
    <xf numFmtId="10" fontId="0" fillId="5" borderId="0" xfId="0" applyNumberFormat="1" applyFill="1"/>
    <xf numFmtId="0" fontId="0" fillId="0" borderId="0" xfId="0" applyAlignment="1">
      <alignment horizontal="center"/>
    </xf>
    <xf numFmtId="0" fontId="0" fillId="0" borderId="9" xfId="0" applyBorder="1"/>
    <xf numFmtId="0" fontId="0" fillId="5" borderId="7" xfId="0" applyFill="1" applyBorder="1"/>
    <xf numFmtId="0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13" xfId="0" applyFont="1" applyFill="1" applyBorder="1" applyAlignment="1">
      <alignment horizontal="center"/>
    </xf>
    <xf numFmtId="10" fontId="0" fillId="5" borderId="15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16" xfId="0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" fontId="0" fillId="2" borderId="0" xfId="0" applyNumberFormat="1" applyFill="1"/>
    <xf numFmtId="0" fontId="0" fillId="2" borderId="1" xfId="0" applyFill="1" applyBorder="1"/>
    <xf numFmtId="0" fontId="0" fillId="2" borderId="4" xfId="0" applyFill="1" applyBorder="1"/>
    <xf numFmtId="14" fontId="0" fillId="2" borderId="5" xfId="0" applyNumberFormat="1" applyFill="1" applyBorder="1"/>
    <xf numFmtId="0" fontId="0" fillId="2" borderId="6" xfId="0" applyFill="1" applyBorder="1"/>
    <xf numFmtId="0" fontId="0" fillId="2" borderId="0" xfId="0" applyFill="1" applyAlignment="1">
      <alignment horizontal="left"/>
    </xf>
    <xf numFmtId="167" fontId="0" fillId="2" borderId="4" xfId="0" applyNumberFormat="1" applyFill="1" applyBorder="1"/>
    <xf numFmtId="167" fontId="0" fillId="2" borderId="5" xfId="0" applyNumberFormat="1" applyFill="1" applyBorder="1"/>
    <xf numFmtId="0" fontId="23" fillId="8" borderId="9" xfId="0" applyFont="1" applyFill="1" applyBorder="1" applyAlignment="1">
      <alignment horizontal="center"/>
    </xf>
    <xf numFmtId="10" fontId="23" fillId="8" borderId="9" xfId="0" applyNumberFormat="1" applyFont="1" applyFill="1" applyBorder="1" applyAlignment="1">
      <alignment horizontal="center"/>
    </xf>
    <xf numFmtId="166" fontId="24" fillId="8" borderId="9" xfId="1" applyNumberFormat="1" applyFont="1" applyFill="1" applyBorder="1"/>
    <xf numFmtId="0" fontId="23" fillId="8" borderId="9" xfId="0" applyFont="1" applyFill="1" applyBorder="1" applyAlignment="1">
      <alignment horizontal="center" vertical="center"/>
    </xf>
    <xf numFmtId="0" fontId="23" fillId="8" borderId="9" xfId="0" applyFont="1" applyFill="1" applyBorder="1"/>
    <xf numFmtId="0" fontId="23" fillId="9" borderId="9" xfId="0" applyFont="1" applyFill="1" applyBorder="1" applyAlignment="1">
      <alignment horizontal="center"/>
    </xf>
    <xf numFmtId="10" fontId="23" fillId="9" borderId="9" xfId="0" applyNumberFormat="1" applyFont="1" applyFill="1" applyBorder="1" applyAlignment="1">
      <alignment horizontal="center"/>
    </xf>
    <xf numFmtId="166" fontId="24" fillId="9" borderId="9" xfId="1" applyNumberFormat="1" applyFont="1" applyFill="1" applyBorder="1"/>
    <xf numFmtId="0" fontId="23" fillId="9" borderId="9" xfId="0" applyFont="1" applyFill="1" applyBorder="1" applyAlignment="1">
      <alignment horizontal="center" vertical="center"/>
    </xf>
    <xf numFmtId="0" fontId="23" fillId="9" borderId="9" xfId="0" applyFont="1" applyFill="1" applyBorder="1"/>
    <xf numFmtId="0" fontId="23" fillId="10" borderId="9" xfId="0" applyFont="1" applyFill="1" applyBorder="1" applyAlignment="1">
      <alignment horizontal="center"/>
    </xf>
    <xf numFmtId="10" fontId="23" fillId="10" borderId="9" xfId="0" applyNumberFormat="1" applyFont="1" applyFill="1" applyBorder="1" applyAlignment="1">
      <alignment horizontal="center"/>
    </xf>
    <xf numFmtId="0" fontId="23" fillId="10" borderId="9" xfId="0" applyFont="1" applyFill="1" applyBorder="1"/>
    <xf numFmtId="166" fontId="24" fillId="10" borderId="9" xfId="1" applyNumberFormat="1" applyFont="1" applyFill="1" applyBorder="1"/>
    <xf numFmtId="0" fontId="23" fillId="10" borderId="9" xfId="0" applyFont="1" applyFill="1" applyBorder="1" applyAlignment="1">
      <alignment horizontal="center" vertical="center"/>
    </xf>
    <xf numFmtId="171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2" fillId="2" borderId="0" xfId="0" applyFont="1" applyFill="1" applyAlignment="1"/>
    <xf numFmtId="2" fontId="2" fillId="2" borderId="0" xfId="0" applyNumberFormat="1" applyFont="1" applyFill="1" applyAlignment="1"/>
    <xf numFmtId="1" fontId="0" fillId="2" borderId="9" xfId="0" applyNumberFormat="1" applyFill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" fontId="0" fillId="2" borderId="8" xfId="0" applyNumberFormat="1" applyFill="1" applyBorder="1"/>
    <xf numFmtId="0" fontId="23" fillId="11" borderId="9" xfId="0" applyFont="1" applyFill="1" applyBorder="1" applyAlignment="1">
      <alignment horizontal="center"/>
    </xf>
    <xf numFmtId="10" fontId="23" fillId="11" borderId="9" xfId="0" applyNumberFormat="1" applyFont="1" applyFill="1" applyBorder="1" applyAlignment="1">
      <alignment horizontal="center"/>
    </xf>
    <xf numFmtId="166" fontId="24" fillId="11" borderId="9" xfId="1" applyNumberFormat="1" applyFont="1" applyFill="1" applyBorder="1"/>
    <xf numFmtId="0" fontId="23" fillId="11" borderId="9" xfId="0" applyFont="1" applyFill="1" applyBorder="1" applyAlignment="1">
      <alignment horizontal="center" vertical="center"/>
    </xf>
    <xf numFmtId="0" fontId="23" fillId="11" borderId="9" xfId="0" applyFont="1" applyFill="1" applyBorder="1"/>
    <xf numFmtId="4" fontId="0" fillId="2" borderId="17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33" fillId="12" borderId="18" xfId="0" applyFont="1" applyFill="1" applyBorder="1" applyAlignment="1" applyProtection="1">
      <alignment horizontal="center" vertical="center"/>
      <protection locked="0"/>
    </xf>
    <xf numFmtId="14" fontId="33" fillId="12" borderId="18" xfId="0" applyNumberFormat="1" applyFont="1" applyFill="1" applyBorder="1" applyAlignment="1" applyProtection="1">
      <alignment horizontal="center" vertical="center"/>
      <protection locked="0"/>
    </xf>
    <xf numFmtId="14" fontId="34" fillId="1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12" fillId="4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26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</xf>
    <xf numFmtId="17" fontId="0" fillId="3" borderId="0" xfId="0" applyNumberFormat="1" applyFont="1" applyFill="1" applyAlignment="1" applyProtection="1">
      <alignment horizontal="center" vertical="center"/>
    </xf>
    <xf numFmtId="0" fontId="38" fillId="3" borderId="0" xfId="0" applyFont="1" applyFill="1" applyAlignment="1" applyProtection="1">
      <alignment horizontal="center" vertical="center"/>
    </xf>
    <xf numFmtId="1" fontId="34" fillId="3" borderId="0" xfId="0" applyNumberFormat="1" applyFont="1" applyFill="1" applyAlignment="1" applyProtection="1">
      <alignment horizontal="left" vertical="center"/>
    </xf>
    <xf numFmtId="1" fontId="34" fillId="3" borderId="0" xfId="0" applyNumberFormat="1" applyFont="1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/>
    </xf>
    <xf numFmtId="4" fontId="33" fillId="3" borderId="0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left" textRotation="90"/>
    </xf>
    <xf numFmtId="0" fontId="0" fillId="3" borderId="0" xfId="0" applyFill="1" applyAlignment="1" applyProtection="1">
      <alignment horizontal="right"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Alignment="1" applyProtection="1">
      <alignment vertical="center"/>
    </xf>
    <xf numFmtId="4" fontId="2" fillId="3" borderId="0" xfId="0" applyNumberFormat="1" applyFont="1" applyFill="1" applyAlignment="1" applyProtection="1">
      <alignment horizontal="right" vertical="center"/>
    </xf>
    <xf numFmtId="4" fontId="34" fillId="3" borderId="0" xfId="0" applyNumberFormat="1" applyFont="1" applyFill="1" applyAlignment="1" applyProtection="1">
      <alignment horizontal="right" vertical="center"/>
    </xf>
    <xf numFmtId="171" fontId="8" fillId="3" borderId="0" xfId="0" applyNumberFormat="1" applyFont="1" applyFill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horizontal="right" vertical="center"/>
    </xf>
    <xf numFmtId="170" fontId="8" fillId="3" borderId="0" xfId="0" applyNumberFormat="1" applyFont="1" applyFill="1" applyAlignment="1" applyProtection="1">
      <alignment horizontal="left" vertical="center"/>
    </xf>
    <xf numFmtId="0" fontId="30" fillId="3" borderId="0" xfId="0" applyFont="1" applyFill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4" fontId="33" fillId="3" borderId="0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23" fillId="3" borderId="10" xfId="0" applyFont="1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14" fontId="25" fillId="3" borderId="10" xfId="0" applyNumberFormat="1" applyFont="1" applyFill="1" applyBorder="1" applyAlignment="1" applyProtection="1">
      <alignment vertical="center"/>
    </xf>
    <xf numFmtId="2" fontId="2" fillId="3" borderId="0" xfId="0" applyNumberFormat="1" applyFont="1" applyFill="1" applyAlignment="1" applyProtection="1">
      <alignment vertical="center"/>
    </xf>
    <xf numFmtId="0" fontId="32" fillId="3" borderId="10" xfId="0" applyFont="1" applyFill="1" applyBorder="1" applyAlignment="1" applyProtection="1">
      <alignment vertical="center"/>
    </xf>
    <xf numFmtId="0" fontId="32" fillId="3" borderId="11" xfId="0" applyFont="1" applyFill="1" applyBorder="1" applyAlignment="1" applyProtection="1">
      <alignment vertical="center"/>
    </xf>
    <xf numFmtId="4" fontId="32" fillId="3" borderId="8" xfId="0" applyNumberFormat="1" applyFont="1" applyFill="1" applyBorder="1" applyAlignment="1" applyProtection="1">
      <alignment vertical="center"/>
    </xf>
    <xf numFmtId="4" fontId="32" fillId="3" borderId="0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3" fontId="0" fillId="3" borderId="0" xfId="0" applyNumberFormat="1" applyFont="1" applyFill="1" applyAlignment="1" applyProtection="1">
      <alignment horizontal="right" vertical="center" indent="1"/>
    </xf>
    <xf numFmtId="171" fontId="0" fillId="3" borderId="0" xfId="0" applyNumberFormat="1" applyFont="1" applyFill="1" applyAlignment="1" applyProtection="1">
      <alignment vertical="center"/>
    </xf>
    <xf numFmtId="14" fontId="30" fillId="3" borderId="0" xfId="0" applyNumberFormat="1" applyFont="1" applyFill="1" applyAlignment="1" applyProtection="1">
      <alignment vertical="center"/>
    </xf>
    <xf numFmtId="4" fontId="31" fillId="3" borderId="0" xfId="0" applyNumberFormat="1" applyFont="1" applyFill="1" applyAlignment="1" applyProtection="1">
      <alignment vertical="center"/>
    </xf>
    <xf numFmtId="2" fontId="0" fillId="3" borderId="0" xfId="0" applyNumberFormat="1" applyFill="1" applyAlignment="1" applyProtection="1">
      <alignment vertical="center"/>
    </xf>
    <xf numFmtId="171" fontId="0" fillId="3" borderId="0" xfId="0" applyNumberFormat="1" applyFont="1" applyFill="1" applyAlignment="1" applyProtection="1">
      <alignment horizontal="right" vertical="center"/>
    </xf>
    <xf numFmtId="0" fontId="29" fillId="3" borderId="0" xfId="0" applyFont="1" applyFill="1" applyAlignment="1" applyProtection="1">
      <alignment vertical="center"/>
    </xf>
    <xf numFmtId="3" fontId="32" fillId="3" borderId="12" xfId="0" applyNumberFormat="1" applyFont="1" applyFill="1" applyBorder="1" applyAlignment="1" applyProtection="1">
      <alignment vertical="center"/>
    </xf>
    <xf numFmtId="3" fontId="32" fillId="3" borderId="0" xfId="0" applyNumberFormat="1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horizontal="right" vertical="center"/>
    </xf>
    <xf numFmtId="0" fontId="32" fillId="3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center" vertical="center" wrapText="1"/>
    </xf>
    <xf numFmtId="3" fontId="0" fillId="3" borderId="0" xfId="0" applyNumberFormat="1" applyFont="1" applyFill="1" applyAlignment="1" applyProtection="1">
      <alignment horizontal="center" vertical="center"/>
    </xf>
    <xf numFmtId="0" fontId="0" fillId="3" borderId="10" xfId="0" applyFont="1" applyFill="1" applyBorder="1" applyAlignment="1" applyProtection="1">
      <alignment vertical="center"/>
    </xf>
    <xf numFmtId="171" fontId="0" fillId="3" borderId="11" xfId="0" applyNumberFormat="1" applyFont="1" applyFill="1" applyBorder="1" applyAlignment="1" applyProtection="1">
      <alignment vertical="center"/>
    </xf>
    <xf numFmtId="0" fontId="0" fillId="3" borderId="11" xfId="0" applyFont="1" applyFill="1" applyBorder="1" applyAlignment="1" applyProtection="1">
      <alignment vertical="center"/>
    </xf>
    <xf numFmtId="171" fontId="0" fillId="3" borderId="12" xfId="0" applyNumberFormat="1" applyFont="1" applyFill="1" applyBorder="1" applyAlignment="1" applyProtection="1">
      <alignment vertical="center"/>
    </xf>
    <xf numFmtId="0" fontId="36" fillId="3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40" fillId="3" borderId="0" xfId="0" applyFont="1" applyFill="1" applyBorder="1" applyAlignment="1" applyProtection="1">
      <alignment vertical="center"/>
    </xf>
    <xf numFmtId="4" fontId="0" fillId="3" borderId="0" xfId="0" applyNumberFormat="1" applyFill="1" applyBorder="1" applyAlignment="1" applyProtection="1">
      <alignment horizontal="right" vertical="center" indent="1"/>
    </xf>
    <xf numFmtId="171" fontId="27" fillId="3" borderId="0" xfId="0" applyNumberFormat="1" applyFont="1" applyFill="1" applyBorder="1" applyAlignment="1" applyProtection="1">
      <alignment horizontal="center" vertical="center"/>
    </xf>
    <xf numFmtId="2" fontId="8" fillId="3" borderId="0" xfId="0" applyNumberFormat="1" applyFont="1" applyFill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171" fontId="0" fillId="3" borderId="7" xfId="0" applyNumberFormat="1" applyFill="1" applyBorder="1" applyAlignment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2" fillId="3" borderId="15" xfId="0" applyFont="1" applyFill="1" applyBorder="1" applyAlignment="1" applyProtection="1">
      <alignment horizontal="center" vertical="center"/>
    </xf>
    <xf numFmtId="2" fontId="2" fillId="3" borderId="1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1" fontId="0" fillId="3" borderId="9" xfId="0" applyNumberFormat="1" applyFill="1" applyBorder="1" applyAlignment="1" applyProtection="1">
      <alignment horizontal="center" vertical="center"/>
    </xf>
    <xf numFmtId="171" fontId="0" fillId="3" borderId="9" xfId="0" applyNumberFormat="1" applyFill="1" applyBorder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4" fontId="3" fillId="3" borderId="0" xfId="0" applyNumberFormat="1" applyFont="1" applyFill="1" applyAlignment="1" applyProtection="1">
      <alignment vertical="center"/>
    </xf>
    <xf numFmtId="10" fontId="3" fillId="3" borderId="0" xfId="0" applyNumberFormat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4" fontId="3" fillId="3" borderId="3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4" fontId="3" fillId="3" borderId="8" xfId="0" applyNumberFormat="1" applyFont="1" applyFill="1" applyBorder="1" applyAlignment="1" applyProtection="1">
      <alignment vertical="center"/>
    </xf>
    <xf numFmtId="171" fontId="2" fillId="3" borderId="0" xfId="0" applyNumberFormat="1" applyFont="1" applyFill="1" applyAlignment="1" applyProtection="1">
      <alignment vertical="center"/>
    </xf>
    <xf numFmtId="171" fontId="2" fillId="3" borderId="0" xfId="0" applyNumberFormat="1" applyFont="1" applyFill="1" applyAlignment="1" applyProtection="1">
      <alignment horizontal="center" vertical="center"/>
    </xf>
    <xf numFmtId="0" fontId="39" fillId="14" borderId="0" xfId="0" applyFont="1" applyFill="1" applyAlignment="1" applyProtection="1">
      <alignment vertical="center"/>
    </xf>
    <xf numFmtId="0" fontId="34" fillId="14" borderId="0" xfId="0" applyFont="1" applyFill="1" applyAlignment="1" applyProtection="1">
      <alignment vertical="center"/>
    </xf>
    <xf numFmtId="0" fontId="0" fillId="14" borderId="0" xfId="0" applyFill="1" applyAlignment="1" applyProtection="1">
      <alignment vertical="center"/>
    </xf>
    <xf numFmtId="0" fontId="0" fillId="2" borderId="2" xfId="0" applyFill="1" applyBorder="1"/>
    <xf numFmtId="0" fontId="0" fillId="2" borderId="0" xfId="0" applyFill="1" applyBorder="1"/>
    <xf numFmtId="0" fontId="35" fillId="3" borderId="0" xfId="0" applyFont="1" applyFill="1" applyAlignment="1" applyProtection="1">
      <alignment vertical="center"/>
      <protection locked="0"/>
    </xf>
    <xf numFmtId="4" fontId="33" fillId="12" borderId="18" xfId="0" applyNumberFormat="1" applyFont="1" applyFill="1" applyBorder="1" applyAlignment="1" applyProtection="1">
      <alignment horizontal="center" vertical="center"/>
      <protection locked="0"/>
    </xf>
    <xf numFmtId="4" fontId="34" fillId="12" borderId="18" xfId="0" applyNumberFormat="1" applyFont="1" applyFill="1" applyBorder="1" applyAlignment="1" applyProtection="1">
      <alignment horizontal="center" vertical="center"/>
      <protection locked="0"/>
    </xf>
    <xf numFmtId="4" fontId="33" fillId="12" borderId="18" xfId="0" applyNumberFormat="1" applyFont="1" applyFill="1" applyBorder="1" applyAlignment="1" applyProtection="1">
      <alignment horizontal="right" vertical="center"/>
      <protection locked="0"/>
    </xf>
    <xf numFmtId="10" fontId="42" fillId="3" borderId="0" xfId="0" applyNumberFormat="1" applyFont="1" applyFill="1" applyBorder="1" applyAlignment="1" applyProtection="1">
      <alignment horizontal="center" vertical="center"/>
    </xf>
    <xf numFmtId="167" fontId="0" fillId="2" borderId="0" xfId="0" applyNumberFormat="1" applyFill="1"/>
    <xf numFmtId="171" fontId="43" fillId="3" borderId="12" xfId="0" applyNumberFormat="1" applyFont="1" applyFill="1" applyBorder="1" applyAlignment="1" applyProtection="1">
      <alignment horizontal="center" vertical="center"/>
    </xf>
    <xf numFmtId="0" fontId="44" fillId="3" borderId="19" xfId="0" applyFont="1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172" fontId="44" fillId="3" borderId="20" xfId="2" applyNumberFormat="1" applyFont="1" applyFill="1" applyBorder="1" applyAlignment="1" applyProtection="1">
      <alignment horizontal="center" vertical="center"/>
    </xf>
    <xf numFmtId="172" fontId="44" fillId="3" borderId="21" xfId="2" applyNumberFormat="1" applyFont="1" applyFill="1" applyBorder="1" applyAlignment="1" applyProtection="1">
      <alignment horizontal="center" vertical="center"/>
    </xf>
    <xf numFmtId="0" fontId="35" fillId="3" borderId="0" xfId="0" applyFont="1" applyFill="1" applyAlignment="1" applyProtection="1">
      <alignment vertical="center"/>
    </xf>
    <xf numFmtId="1" fontId="4" fillId="3" borderId="0" xfId="0" applyNumberFormat="1" applyFont="1" applyFill="1" applyAlignment="1" applyProtection="1">
      <alignment horizontal="left" vertical="center" indent="1"/>
    </xf>
    <xf numFmtId="0" fontId="45" fillId="2" borderId="0" xfId="0" applyFont="1" applyFill="1"/>
    <xf numFmtId="4" fontId="8" fillId="2" borderId="5" xfId="0" applyNumberFormat="1" applyFont="1" applyFill="1" applyBorder="1"/>
    <xf numFmtId="4" fontId="46" fillId="2" borderId="5" xfId="0" applyNumberFormat="1" applyFont="1" applyFill="1" applyBorder="1"/>
    <xf numFmtId="3" fontId="47" fillId="13" borderId="18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7" fillId="3" borderId="1" xfId="0" applyFont="1" applyFill="1" applyBorder="1" applyAlignment="1" applyProtection="1">
      <alignment horizontal="center" vertical="center" wrapText="1"/>
    </xf>
    <xf numFmtId="0" fontId="37" fillId="3" borderId="2" xfId="0" applyFont="1" applyFill="1" applyBorder="1" applyAlignment="1" applyProtection="1">
      <alignment horizontal="center" vertical="center" wrapText="1"/>
    </xf>
    <xf numFmtId="0" fontId="37" fillId="3" borderId="3" xfId="0" applyFont="1" applyFill="1" applyBorder="1" applyAlignment="1" applyProtection="1">
      <alignment horizontal="center" vertical="center" wrapText="1"/>
    </xf>
    <xf numFmtId="0" fontId="37" fillId="3" borderId="4" xfId="0" applyFont="1" applyFill="1" applyBorder="1" applyAlignment="1" applyProtection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</xf>
    <xf numFmtId="0" fontId="37" fillId="3" borderId="5" xfId="0" applyFont="1" applyFill="1" applyBorder="1" applyAlignment="1" applyProtection="1">
      <alignment horizontal="center" vertical="center" wrapText="1"/>
    </xf>
    <xf numFmtId="0" fontId="37" fillId="3" borderId="6" xfId="0" applyFont="1" applyFill="1" applyBorder="1" applyAlignment="1" applyProtection="1">
      <alignment horizontal="center" vertical="center" wrapText="1"/>
    </xf>
    <xf numFmtId="0" fontId="37" fillId="3" borderId="7" xfId="0" applyFont="1" applyFill="1" applyBorder="1" applyAlignment="1" applyProtection="1">
      <alignment horizontal="center" vertical="center" wrapText="1"/>
    </xf>
    <xf numFmtId="0" fontId="37" fillId="3" borderId="8" xfId="0" applyFont="1" applyFill="1" applyBorder="1" applyAlignment="1" applyProtection="1">
      <alignment horizontal="center" vertical="center" wrapText="1"/>
    </xf>
    <xf numFmtId="0" fontId="38" fillId="3" borderId="0" xfId="0" applyFont="1" applyFill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right" vertical="center"/>
    </xf>
    <xf numFmtId="0" fontId="0" fillId="3" borderId="0" xfId="0" applyFont="1" applyFill="1" applyAlignment="1" applyProtection="1">
      <alignment horizontal="left" vertical="center" textRotation="90"/>
    </xf>
    <xf numFmtId="0" fontId="20" fillId="3" borderId="0" xfId="0" applyFont="1" applyFill="1" applyAlignment="1" applyProtection="1">
      <alignment horizontal="left" vertical="center" textRotation="90"/>
    </xf>
    <xf numFmtId="0" fontId="32" fillId="3" borderId="10" xfId="0" applyFont="1" applyFill="1" applyBorder="1" applyAlignment="1" applyProtection="1">
      <alignment horizontal="right" vertical="center"/>
    </xf>
    <xf numFmtId="0" fontId="32" fillId="3" borderId="11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left" vertical="center"/>
    </xf>
    <xf numFmtId="0" fontId="0" fillId="2" borderId="7" xfId="0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7" fillId="7" borderId="9" xfId="0" applyFont="1" applyFill="1" applyBorder="1" applyAlignment="1">
      <alignment horizontal="center" vertical="center" wrapText="1"/>
    </xf>
    <xf numFmtId="4" fontId="3" fillId="7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1" fillId="7" borderId="10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24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/>
        <bottom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Calibri"/>
        <scheme val="none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</font>
    </dxf>
    <dxf>
      <font>
        <b/>
        <i val="0"/>
      </font>
    </dxf>
    <dxf>
      <font>
        <color theme="0" tint="-4.9989318521683403E-2"/>
      </font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5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atos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hyperlink" Target="#pensiones!A1"/><Relationship Id="rId4" Type="http://schemas.openxmlformats.org/officeDocument/2006/relationships/hyperlink" Target="#simulaci&#243;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atos!A1"/><Relationship Id="rId2" Type="http://schemas.openxmlformats.org/officeDocument/2006/relationships/hyperlink" Target="#men&#250;!A1"/><Relationship Id="rId1" Type="http://schemas.openxmlformats.org/officeDocument/2006/relationships/image" Target="../media/image7.jpeg"/><Relationship Id="rId5" Type="http://schemas.openxmlformats.org/officeDocument/2006/relationships/hyperlink" Target="#pensiones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hyperlink" Target="#simulaci&#243;n!A1"/><Relationship Id="rId4" Type="http://schemas.openxmlformats.org/officeDocument/2006/relationships/hyperlink" Target="#dat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31401</xdr:colOff>
      <xdr:row>1</xdr:row>
      <xdr:rowOff>145814</xdr:rowOff>
    </xdr:from>
    <xdr:to>
      <xdr:col>3</xdr:col>
      <xdr:colOff>74883</xdr:colOff>
      <xdr:row>4</xdr:row>
      <xdr:rowOff>57150</xdr:rowOff>
    </xdr:to>
    <xdr:pic macro="[0]!Imagen_Haga_clic_en"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51" y="307739"/>
          <a:ext cx="1567482" cy="597136"/>
        </a:xfrm>
        <a:prstGeom prst="rect">
          <a:avLst/>
        </a:prstGeom>
      </xdr:spPr>
    </xdr:pic>
    <xdr:clientData/>
  </xdr:twoCellAnchor>
  <xdr:twoCellAnchor editAs="oneCell">
    <xdr:from>
      <xdr:col>8</xdr:col>
      <xdr:colOff>91788</xdr:colOff>
      <xdr:row>2</xdr:row>
      <xdr:rowOff>123824</xdr:rowOff>
    </xdr:from>
    <xdr:to>
      <xdr:col>11</xdr:col>
      <xdr:colOff>752475</xdr:colOff>
      <xdr:row>3</xdr:row>
      <xdr:rowOff>352424</xdr:rowOff>
    </xdr:to>
    <xdr:pic macro="[0]!menú_2Imagen_Haga_clic_en"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2038" y="447674"/>
          <a:ext cx="2946687" cy="390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0</xdr:colOff>
      <xdr:row>5</xdr:row>
      <xdr:rowOff>57150</xdr:rowOff>
    </xdr:from>
    <xdr:to>
      <xdr:col>11</xdr:col>
      <xdr:colOff>752475</xdr:colOff>
      <xdr:row>5</xdr:row>
      <xdr:rowOff>66675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476250" y="1066800"/>
          <a:ext cx="8372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114300</xdr:rowOff>
    </xdr:from>
    <xdr:to>
      <xdr:col>7</xdr:col>
      <xdr:colOff>723900</xdr:colOff>
      <xdr:row>11</xdr:row>
      <xdr:rowOff>85725</xdr:rowOff>
    </xdr:to>
    <xdr:sp macro="" textlink="">
      <xdr:nvSpPr>
        <xdr:cNvPr id="9" name="Rectángulo redondead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257425" y="1771650"/>
          <a:ext cx="3514725" cy="29527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>
              <a:solidFill>
                <a:schemeClr val="tx2">
                  <a:lumMod val="50000"/>
                </a:schemeClr>
              </a:solidFill>
            </a:rPr>
            <a:t>INTRODUCIR</a:t>
          </a:r>
          <a:r>
            <a:rPr lang="es-ES" sz="1100" b="1" baseline="0">
              <a:solidFill>
                <a:schemeClr val="tx2">
                  <a:lumMod val="50000"/>
                </a:schemeClr>
              </a:solidFill>
            </a:rPr>
            <a:t> DATOS</a:t>
          </a:r>
          <a:endParaRPr lang="es-ES" sz="11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238125</xdr:colOff>
      <xdr:row>13</xdr:row>
      <xdr:rowOff>47625</xdr:rowOff>
    </xdr:from>
    <xdr:to>
      <xdr:col>7</xdr:col>
      <xdr:colOff>704850</xdr:colOff>
      <xdr:row>15</xdr:row>
      <xdr:rowOff>19050</xdr:rowOff>
    </xdr:to>
    <xdr:sp macro="" textlink="">
      <xdr:nvSpPr>
        <xdr:cNvPr id="11" name="Rectángulo redondead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238375" y="2352675"/>
          <a:ext cx="3514725" cy="295275"/>
        </a:xfrm>
        <a:prstGeom prst="roundRect">
          <a:avLst/>
        </a:prstGeom>
        <a:solidFill>
          <a:srgbClr val="A5A5A5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44546A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SIMULACIÓN </a:t>
          </a:r>
        </a:p>
      </xdr:txBody>
    </xdr:sp>
    <xdr:clientData/>
  </xdr:twoCellAnchor>
  <xdr:twoCellAnchor>
    <xdr:from>
      <xdr:col>3</xdr:col>
      <xdr:colOff>219075</xdr:colOff>
      <xdr:row>17</xdr:row>
      <xdr:rowOff>38100</xdr:rowOff>
    </xdr:from>
    <xdr:to>
      <xdr:col>7</xdr:col>
      <xdr:colOff>685800</xdr:colOff>
      <xdr:row>19</xdr:row>
      <xdr:rowOff>9525</xdr:rowOff>
    </xdr:to>
    <xdr:sp macro="" textlink="">
      <xdr:nvSpPr>
        <xdr:cNvPr id="12" name="Rectángulo redondead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219325" y="2990850"/>
          <a:ext cx="3514725" cy="295275"/>
        </a:xfrm>
        <a:prstGeom prst="roundRect">
          <a:avLst/>
        </a:prstGeom>
        <a:solidFill>
          <a:srgbClr val="A5A5A5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44546A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PREVISIÓN JUBILACIÓN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14655</xdr:colOff>
      <xdr:row>23</xdr:row>
      <xdr:rowOff>3664</xdr:rowOff>
    </xdr:from>
    <xdr:to>
      <xdr:col>13</xdr:col>
      <xdr:colOff>40299</xdr:colOff>
      <xdr:row>25</xdr:row>
      <xdr:rowOff>179509</xdr:rowOff>
    </xdr:to>
    <xdr:sp macro="" textlink="">
      <xdr:nvSpPr>
        <xdr:cNvPr id="10" name="9 Cerrar llav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9873030" y="4355856"/>
          <a:ext cx="109904" cy="556845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accent2"/>
            </a:solidFill>
          </a:endParaRPr>
        </a:p>
      </xdr:txBody>
    </xdr:sp>
    <xdr:clientData/>
  </xdr:twoCellAnchor>
  <xdr:twoCellAnchor>
    <xdr:from>
      <xdr:col>11</xdr:col>
      <xdr:colOff>742950</xdr:colOff>
      <xdr:row>10</xdr:row>
      <xdr:rowOff>134471</xdr:rowOff>
    </xdr:from>
    <xdr:to>
      <xdr:col>13</xdr:col>
      <xdr:colOff>0</xdr:colOff>
      <xdr:row>12</xdr:row>
      <xdr:rowOff>48745</xdr:rowOff>
    </xdr:to>
    <xdr:sp macro="" textlink="">
      <xdr:nvSpPr>
        <xdr:cNvPr id="11" name="10 Cerrar llav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842126" y="2011456"/>
          <a:ext cx="142315" cy="295274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accent2"/>
            </a:solidFill>
          </a:endParaRPr>
        </a:p>
      </xdr:txBody>
    </xdr:sp>
    <xdr:clientData/>
  </xdr:twoCellAnchor>
  <xdr:twoCellAnchor editAs="absolute">
    <xdr:from>
      <xdr:col>9</xdr:col>
      <xdr:colOff>466724</xdr:colOff>
      <xdr:row>1</xdr:row>
      <xdr:rowOff>0</xdr:rowOff>
    </xdr:from>
    <xdr:to>
      <xdr:col>10</xdr:col>
      <xdr:colOff>609599</xdr:colOff>
      <xdr:row>4</xdr:row>
      <xdr:rowOff>174704</xdr:rowOff>
    </xdr:to>
    <xdr:pic macro="[0]!imprimir"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699" y="161925"/>
          <a:ext cx="809625" cy="746204"/>
        </a:xfrm>
        <a:prstGeom prst="rect">
          <a:avLst/>
        </a:prstGeom>
      </xdr:spPr>
    </xdr:pic>
    <xdr:clientData fPrintsWithSheet="0"/>
  </xdr:twoCellAnchor>
  <xdr:twoCellAnchor editAs="oneCell">
    <xdr:from>
      <xdr:col>0</xdr:col>
      <xdr:colOff>76200</xdr:colOff>
      <xdr:row>0</xdr:row>
      <xdr:rowOff>66675</xdr:rowOff>
    </xdr:from>
    <xdr:to>
      <xdr:col>8</xdr:col>
      <xdr:colOff>227645</xdr:colOff>
      <xdr:row>4</xdr:row>
      <xdr:rowOff>114300</xdr:rowOff>
    </xdr:to>
    <xdr:pic macro="[0]!Imagen_Haga_clic_en"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7190420" cy="781050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0</xdr:colOff>
      <xdr:row>5</xdr:row>
      <xdr:rowOff>85725</xdr:rowOff>
    </xdr:from>
    <xdr:to>
      <xdr:col>1</xdr:col>
      <xdr:colOff>720000</xdr:colOff>
      <xdr:row>9</xdr:row>
      <xdr:rowOff>43725</xdr:rowOff>
    </xdr:to>
    <xdr:pic macro="[0]!menú_2Imagen_Haga_clic_en"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09650"/>
          <a:ext cx="720000" cy="720000"/>
        </a:xfrm>
        <a:prstGeom prst="rect">
          <a:avLst/>
        </a:prstGeom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123825</xdr:rowOff>
        </xdr:from>
        <xdr:to>
          <xdr:col>4</xdr:col>
          <xdr:colOff>933450</xdr:colOff>
          <xdr:row>15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EE2E5DA4-3FA8-4F1E-851A-D8F904191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computen sencers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695325</xdr:colOff>
          <xdr:row>4</xdr:row>
          <xdr:rowOff>19050</xdr:rowOff>
        </xdr:from>
        <xdr:to>
          <xdr:col>13</xdr:col>
          <xdr:colOff>628650</xdr:colOff>
          <xdr:row>5</xdr:row>
          <xdr:rowOff>66675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2542D0E5-DDED-489B-A4FC-5ACB385B7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a-E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esborrar dades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5</xdr:col>
      <xdr:colOff>714374</xdr:colOff>
      <xdr:row>47</xdr:row>
      <xdr:rowOff>157760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xmlns="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"/>
          <a:ext cx="5981699" cy="776823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95250</xdr:rowOff>
    </xdr:from>
    <xdr:to>
      <xdr:col>1</xdr:col>
      <xdr:colOff>857250</xdr:colOff>
      <xdr:row>4</xdr:row>
      <xdr:rowOff>101764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7175"/>
          <a:ext cx="1000125" cy="492289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</xdr:row>
      <xdr:rowOff>114300</xdr:rowOff>
    </xdr:from>
    <xdr:to>
      <xdr:col>3</xdr:col>
      <xdr:colOff>76200</xdr:colOff>
      <xdr:row>4</xdr:row>
      <xdr:rowOff>0</xdr:rowOff>
    </xdr:to>
    <xdr:sp macro="" textlink="">
      <xdr:nvSpPr>
        <xdr:cNvPr id="18" name="Rectángulo redondeado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1304925" y="43815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MENÚ</a:t>
          </a:r>
        </a:p>
      </xdr:txBody>
    </xdr:sp>
    <xdr:clientData/>
  </xdr:twoCellAnchor>
  <xdr:twoCellAnchor>
    <xdr:from>
      <xdr:col>3</xdr:col>
      <xdr:colOff>157163</xdr:colOff>
      <xdr:row>2</xdr:row>
      <xdr:rowOff>114300</xdr:rowOff>
    </xdr:from>
    <xdr:to>
      <xdr:col>4</xdr:col>
      <xdr:colOff>42863</xdr:colOff>
      <xdr:row>4</xdr:row>
      <xdr:rowOff>0</xdr:rowOff>
    </xdr:to>
    <xdr:sp macro="" textlink="">
      <xdr:nvSpPr>
        <xdr:cNvPr id="20" name="Rectángulo redondeado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2033588" y="43815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DATOS</a:t>
          </a:r>
        </a:p>
      </xdr:txBody>
    </xdr:sp>
    <xdr:clientData/>
  </xdr:twoCellAnchor>
  <xdr:twoCellAnchor editAs="oneCell">
    <xdr:from>
      <xdr:col>5</xdr:col>
      <xdr:colOff>228600</xdr:colOff>
      <xdr:row>3</xdr:row>
      <xdr:rowOff>57150</xdr:rowOff>
    </xdr:from>
    <xdr:to>
      <xdr:col>9</xdr:col>
      <xdr:colOff>60612</xdr:colOff>
      <xdr:row>5</xdr:row>
      <xdr:rowOff>123825</xdr:rowOff>
    </xdr:to>
    <xdr:pic>
      <xdr:nvPicPr>
        <xdr:cNvPr id="22" name="2 Imagen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542925"/>
          <a:ext cx="2946687" cy="390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123825</xdr:colOff>
      <xdr:row>2</xdr:row>
      <xdr:rowOff>114300</xdr:rowOff>
    </xdr:from>
    <xdr:to>
      <xdr:col>5</xdr:col>
      <xdr:colOff>9525</xdr:colOff>
      <xdr:row>4</xdr:row>
      <xdr:rowOff>0</xdr:rowOff>
    </xdr:to>
    <xdr:sp macro="" textlink="">
      <xdr:nvSpPr>
        <xdr:cNvPr id="23" name="Rectángulo redondeado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2762250" y="43815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JUBIL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19050</xdr:rowOff>
    </xdr:from>
    <xdr:to>
      <xdr:col>2</xdr:col>
      <xdr:colOff>304800</xdr:colOff>
      <xdr:row>4</xdr:row>
      <xdr:rowOff>81826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80975"/>
          <a:ext cx="1114425" cy="548551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1</xdr:row>
      <xdr:rowOff>133350</xdr:rowOff>
    </xdr:from>
    <xdr:to>
      <xdr:col>11</xdr:col>
      <xdr:colOff>851187</xdr:colOff>
      <xdr:row>4</xdr:row>
      <xdr:rowOff>38100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295275"/>
          <a:ext cx="2946687" cy="3905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742950</xdr:colOff>
      <xdr:row>2</xdr:row>
      <xdr:rowOff>95250</xdr:rowOff>
    </xdr:from>
    <xdr:to>
      <xdr:col>3</xdr:col>
      <xdr:colOff>628650</xdr:colOff>
      <xdr:row>3</xdr:row>
      <xdr:rowOff>142875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828800" y="41910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MENÚ</a:t>
          </a:r>
        </a:p>
      </xdr:txBody>
    </xdr:sp>
    <xdr:clientData/>
  </xdr:twoCellAnchor>
  <xdr:twoCellAnchor>
    <xdr:from>
      <xdr:col>3</xdr:col>
      <xdr:colOff>757238</xdr:colOff>
      <xdr:row>2</xdr:row>
      <xdr:rowOff>95250</xdr:rowOff>
    </xdr:from>
    <xdr:to>
      <xdr:col>4</xdr:col>
      <xdr:colOff>642938</xdr:colOff>
      <xdr:row>3</xdr:row>
      <xdr:rowOff>142875</xdr:rowOff>
    </xdr:to>
    <xdr:sp macro="" textlink="">
      <xdr:nvSpPr>
        <xdr:cNvPr id="6" name="Rectángulo redondead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2605088" y="41910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DATOS</a:t>
          </a:r>
        </a:p>
      </xdr:txBody>
    </xdr:sp>
    <xdr:clientData/>
  </xdr:twoCellAnchor>
  <xdr:twoCellAnchor>
    <xdr:from>
      <xdr:col>5</xdr:col>
      <xdr:colOff>9525</xdr:colOff>
      <xdr:row>2</xdr:row>
      <xdr:rowOff>95250</xdr:rowOff>
    </xdr:from>
    <xdr:to>
      <xdr:col>5</xdr:col>
      <xdr:colOff>657225</xdr:colOff>
      <xdr:row>3</xdr:row>
      <xdr:rowOff>142875</xdr:rowOff>
    </xdr:to>
    <xdr:sp macro="" textlink="">
      <xdr:nvSpPr>
        <xdr:cNvPr id="7" name="Rectángulo redondead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3381375" y="419100"/>
          <a:ext cx="647700" cy="209550"/>
        </a:xfrm>
        <a:prstGeom prst="roundRect">
          <a:avLst/>
        </a:prstGeom>
        <a:solidFill>
          <a:srgbClr val="44546A">
            <a:lumMod val="20000"/>
            <a:lumOff val="8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SIMUL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condiciones" displayName="condiciones" ref="C6:K17" totalsRowShown="0" headerRowDxfId="19" dataDxfId="18" tableBorderDxfId="17">
  <autoFilter ref="C6:K17"/>
  <tableColumns count="9">
    <tableColumn id="1" name="generación" dataDxfId="16"/>
    <tableColumn id="2" name="%SR" dataDxfId="15"/>
    <tableColumn id="3" name="edad" dataDxfId="14">
      <calculatedColumnFormula>2019-C7</calculatedColumnFormula>
    </tableColumn>
    <tableColumn id="4" name="hasta" dataDxfId="13"/>
    <tableColumn id="5" name="horizonte" dataDxfId="12"/>
    <tableColumn id="6" name="convenio" dataDxfId="11"/>
    <tableColumn id="7" name="PRIMAS" dataDxfId="10" dataCellStyle="Millares"/>
    <tableColumn id="8" name="Columna1" dataDxfId="9"/>
    <tableColumn id="9" name="RENTA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condiciones2" displayName="condiciones2" ref="F49:K52" totalsRowShown="0" headerRowDxfId="7" dataDxfId="6">
  <autoFilter ref="F49:K52"/>
  <tableColumns count="6">
    <tableColumn id="1" name="Columna1" dataDxfId="5"/>
    <tableColumn id="2" name="importe" dataDxfId="4"/>
    <tableColumn id="3" name="Convenio" dataDxfId="3"/>
    <tableColumn id="4" name="Aportaciones" dataDxfId="2"/>
    <tableColumn id="5" name="adeslas" dataDxfId="1"/>
    <tableColumn id="6" name="rent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4:H4"/>
  <sheetViews>
    <sheetView workbookViewId="0"/>
  </sheetViews>
  <sheetFormatPr baseColWidth="10" defaultRowHeight="12.75" x14ac:dyDescent="0.2"/>
  <cols>
    <col min="1" max="1" width="7.140625" style="1" customWidth="1"/>
    <col min="2" max="16384" width="11.42578125" style="1"/>
  </cols>
  <sheetData>
    <row r="4" spans="4:8" ht="28.5" x14ac:dyDescent="0.45">
      <c r="D4" s="300" t="s">
        <v>133</v>
      </c>
      <c r="E4" s="300"/>
      <c r="F4" s="300"/>
      <c r="G4" s="300"/>
      <c r="H4" s="300"/>
    </row>
  </sheetData>
  <mergeCells count="1">
    <mergeCell ref="D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70"/>
  <sheetViews>
    <sheetView tabSelected="1" workbookViewId="0">
      <selection activeCell="J17" sqref="J17"/>
    </sheetView>
  </sheetViews>
  <sheetFormatPr baseColWidth="10" defaultRowHeight="12.75" x14ac:dyDescent="0.2"/>
  <cols>
    <col min="1" max="1" width="8.28515625" style="193" customWidth="1"/>
    <col min="2" max="2" width="22.42578125" style="193" bestFit="1" customWidth="1"/>
    <col min="3" max="3" width="16.5703125" style="193" customWidth="1"/>
    <col min="4" max="4" width="11.42578125" style="193"/>
    <col min="5" max="5" width="16.85546875" style="193" bestFit="1" customWidth="1"/>
    <col min="6" max="7" width="11.42578125" style="193"/>
    <col min="8" max="8" width="7.140625" style="193" customWidth="1"/>
    <col min="9" max="9" width="11.42578125" style="193"/>
    <col min="10" max="10" width="10" style="193" customWidth="1"/>
    <col min="11" max="11" width="12.42578125" style="193" customWidth="1"/>
    <col min="12" max="12" width="11.42578125" style="193" customWidth="1"/>
    <col min="13" max="13" width="1.28515625" style="193" customWidth="1"/>
    <col min="14" max="14" width="13.5703125" style="193" bestFit="1" customWidth="1"/>
    <col min="15" max="16384" width="11.42578125" style="193"/>
  </cols>
  <sheetData>
    <row r="1" spans="1:14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5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4" t="s">
        <v>272</v>
      </c>
    </row>
    <row r="3" spans="1:14" ht="15" customHeight="1" x14ac:dyDescent="0.2">
      <c r="A3" s="192"/>
      <c r="B3" s="192" t="str">
        <f>IF(simulación!Q3=simulación!R25,"CONSOLIDADO")</f>
        <v>CONSOLIDADO</v>
      </c>
      <c r="C3" s="192"/>
      <c r="D3" s="192"/>
      <c r="E3" s="192"/>
      <c r="F3" s="192"/>
      <c r="G3" s="192"/>
      <c r="H3" s="192"/>
      <c r="I3" s="192"/>
      <c r="J3" s="195"/>
      <c r="K3" s="196"/>
      <c r="L3" s="196"/>
      <c r="M3" s="196"/>
      <c r="N3" s="197">
        <v>43586</v>
      </c>
    </row>
    <row r="4" spans="1:14" ht="15" customHeight="1" x14ac:dyDescent="0.2">
      <c r="A4" s="192"/>
      <c r="B4" s="192"/>
      <c r="C4" s="192"/>
      <c r="D4" s="192"/>
      <c r="E4" s="192"/>
      <c r="F4" s="192"/>
      <c r="G4" s="192"/>
      <c r="H4" s="192"/>
      <c r="I4" s="195"/>
      <c r="J4" s="195"/>
      <c r="K4" s="196"/>
      <c r="L4" s="196"/>
      <c r="M4" s="196"/>
      <c r="N4" s="196"/>
    </row>
    <row r="5" spans="1:14" ht="15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283" t="b">
        <v>0</v>
      </c>
      <c r="K5" s="196"/>
      <c r="L5" s="196"/>
      <c r="M5" s="196"/>
      <c r="N5" s="196"/>
    </row>
    <row r="6" spans="1:14" ht="15" customHeight="1" x14ac:dyDescent="0.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5" customHeight="1" x14ac:dyDescent="0.2">
      <c r="A7" s="192"/>
      <c r="B7" s="192"/>
      <c r="C7" s="192"/>
      <c r="D7" s="192"/>
      <c r="E7" s="192"/>
      <c r="F7" s="316" t="s">
        <v>218</v>
      </c>
      <c r="G7" s="316"/>
      <c r="H7" s="316"/>
      <c r="I7" s="316"/>
      <c r="J7" s="316"/>
      <c r="K7" s="316"/>
      <c r="L7" s="316"/>
      <c r="M7" s="198"/>
      <c r="N7" s="192"/>
    </row>
    <row r="8" spans="1:14" ht="15" customHeight="1" x14ac:dyDescent="0.2">
      <c r="A8" s="192"/>
      <c r="B8" s="192"/>
      <c r="C8" s="192"/>
      <c r="D8" s="192"/>
      <c r="E8" s="192"/>
      <c r="F8" s="316"/>
      <c r="G8" s="316"/>
      <c r="H8" s="316"/>
      <c r="I8" s="316"/>
      <c r="J8" s="316"/>
      <c r="K8" s="316"/>
      <c r="L8" s="316"/>
      <c r="M8" s="198"/>
      <c r="N8" s="192"/>
    </row>
    <row r="9" spans="1:14" ht="15" customHeight="1" x14ac:dyDescent="0.2">
      <c r="A9" s="192"/>
      <c r="B9" s="192"/>
      <c r="C9" s="192"/>
      <c r="D9" s="192"/>
      <c r="E9" s="192"/>
      <c r="F9" s="316"/>
      <c r="G9" s="316"/>
      <c r="H9" s="316"/>
      <c r="I9" s="316"/>
      <c r="J9" s="316"/>
      <c r="K9" s="316"/>
      <c r="L9" s="316"/>
      <c r="M9" s="198"/>
      <c r="N9" s="199"/>
    </row>
    <row r="10" spans="1:14" ht="15" customHeight="1" x14ac:dyDescent="0.2">
      <c r="A10" s="192"/>
      <c r="B10" s="192"/>
      <c r="C10" s="192"/>
      <c r="D10" s="192"/>
      <c r="E10" s="192"/>
      <c r="F10" s="192"/>
      <c r="G10" s="192"/>
      <c r="H10" s="192"/>
      <c r="I10" s="200"/>
      <c r="J10" s="192"/>
      <c r="K10" s="192"/>
      <c r="L10" s="192"/>
      <c r="M10" s="192"/>
      <c r="N10" s="192"/>
    </row>
    <row r="11" spans="1:14" ht="15" customHeight="1" x14ac:dyDescent="0.2">
      <c r="A11" s="192"/>
      <c r="B11" s="201"/>
      <c r="C11" s="202" t="s">
        <v>210</v>
      </c>
      <c r="D11" s="202" t="s">
        <v>211</v>
      </c>
      <c r="E11" s="202" t="s">
        <v>212</v>
      </c>
      <c r="F11" s="203" t="s">
        <v>213</v>
      </c>
      <c r="G11" s="203"/>
      <c r="H11" s="203"/>
      <c r="I11" s="202" t="s">
        <v>35</v>
      </c>
      <c r="J11" s="201" t="s">
        <v>34</v>
      </c>
      <c r="K11" s="202"/>
      <c r="L11" s="202" t="s">
        <v>219</v>
      </c>
      <c r="M11" s="202"/>
      <c r="N11" s="327" t="s">
        <v>192</v>
      </c>
    </row>
    <row r="12" spans="1:14" ht="15" customHeight="1" x14ac:dyDescent="0.2">
      <c r="A12" s="192"/>
      <c r="B12" s="204" t="s">
        <v>248</v>
      </c>
      <c r="C12" s="186">
        <v>27395</v>
      </c>
      <c r="D12" s="186">
        <v>37987</v>
      </c>
      <c r="E12" s="187">
        <v>43678</v>
      </c>
      <c r="F12" s="205" t="str">
        <f>+VLOOKUP(YEAR(naci),marco,8,FALSE)</f>
        <v>C</v>
      </c>
      <c r="G12" s="192"/>
      <c r="H12" s="204" t="s">
        <v>215</v>
      </c>
      <c r="I12" s="284">
        <v>1000</v>
      </c>
      <c r="J12" s="285">
        <v>0</v>
      </c>
      <c r="K12" s="287">
        <f>IF(ISERROR(+Cuota_Acumulada/Ingresos_acumulados),0,+Cuota_Acumulada/Ingresos_acumulados)</f>
        <v>0</v>
      </c>
      <c r="L12" s="284">
        <v>0</v>
      </c>
      <c r="M12" s="206"/>
      <c r="N12" s="327"/>
    </row>
    <row r="13" spans="1:14" ht="15" customHeight="1" x14ac:dyDescent="0.2">
      <c r="A13" s="192"/>
      <c r="B13" s="192"/>
      <c r="C13" s="192"/>
      <c r="D13" s="200"/>
      <c r="E13" s="192"/>
      <c r="F13" s="192"/>
      <c r="G13" s="192"/>
      <c r="H13" s="204" t="s">
        <v>216</v>
      </c>
      <c r="I13" s="185" t="s">
        <v>12</v>
      </c>
      <c r="J13" s="201"/>
      <c r="K13" s="201"/>
      <c r="L13" s="201"/>
      <c r="M13" s="201"/>
      <c r="N13" s="327"/>
    </row>
    <row r="14" spans="1:14" ht="15" customHeight="1" x14ac:dyDescent="0.2">
      <c r="A14" s="192"/>
      <c r="B14" s="192"/>
      <c r="C14" s="192"/>
      <c r="D14" s="192"/>
      <c r="E14" s="192"/>
      <c r="F14" s="192"/>
      <c r="G14" s="192"/>
      <c r="H14" s="204" t="s">
        <v>193</v>
      </c>
      <c r="I14" s="284">
        <v>1000</v>
      </c>
      <c r="J14" s="201"/>
      <c r="K14" s="204" t="s">
        <v>220</v>
      </c>
      <c r="L14" s="284">
        <v>0</v>
      </c>
      <c r="M14" s="206"/>
      <c r="N14" s="207"/>
    </row>
    <row r="15" spans="1:14" ht="15" customHeight="1" x14ac:dyDescent="0.2">
      <c r="A15" s="192"/>
      <c r="B15" s="208" t="s">
        <v>214</v>
      </c>
      <c r="C15" s="185">
        <v>0</v>
      </c>
      <c r="D15" s="192"/>
      <c r="E15" s="192"/>
      <c r="F15" s="192"/>
      <c r="G15" s="192"/>
      <c r="H15" s="208" t="s">
        <v>217</v>
      </c>
      <c r="I15" s="185" t="s">
        <v>273</v>
      </c>
      <c r="J15" s="295" t="str">
        <f>+IF(ROUNDDOWN(Ingresos_acumulados/NÓMINA,0)=Mes_Nómina,"","INTRODUIR EL MES DE LA NÒMINA")</f>
        <v>INTRODUIR EL MES DE LA NÒMINA</v>
      </c>
      <c r="K15" s="192"/>
      <c r="L15" s="192"/>
      <c r="M15" s="192"/>
      <c r="N15" s="192"/>
    </row>
    <row r="16" spans="1:14" ht="15" customHeight="1" x14ac:dyDescent="0.2">
      <c r="A16" s="192"/>
      <c r="B16" s="192"/>
      <c r="C16" s="192"/>
      <c r="D16" s="192"/>
      <c r="E16" s="192"/>
      <c r="F16" s="192"/>
      <c r="G16" s="192"/>
      <c r="H16" s="192"/>
      <c r="I16" s="294">
        <f>+VLOOKUP(I15,meses,2,FALSE)</f>
        <v>4</v>
      </c>
      <c r="J16" s="192"/>
      <c r="K16" s="200"/>
      <c r="L16" s="200"/>
      <c r="M16" s="192"/>
      <c r="N16" s="192"/>
    </row>
    <row r="17" spans="1:14" ht="15" customHeight="1" x14ac:dyDescent="0.2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9"/>
      <c r="L17" s="192"/>
      <c r="M17" s="192"/>
      <c r="N17" s="192"/>
    </row>
    <row r="18" spans="1:14" ht="15" customHeight="1" x14ac:dyDescent="0.2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5" customHeight="1" x14ac:dyDescent="0.2">
      <c r="A19" s="192"/>
      <c r="B19" s="209" t="s">
        <v>221</v>
      </c>
      <c r="C19" s="209"/>
      <c r="D19" s="209"/>
      <c r="E19" s="209"/>
      <c r="F19" s="209"/>
      <c r="G19" s="209"/>
      <c r="H19" s="210"/>
      <c r="I19" s="331" t="s">
        <v>224</v>
      </c>
      <c r="J19" s="331"/>
      <c r="K19" s="331"/>
      <c r="L19" s="331"/>
      <c r="M19" s="211"/>
      <c r="N19" s="192"/>
    </row>
    <row r="20" spans="1:14" ht="15" customHeight="1" x14ac:dyDescent="0.2">
      <c r="A20" s="192"/>
      <c r="B20" s="192"/>
      <c r="C20" s="192" t="s">
        <v>226</v>
      </c>
      <c r="D20" s="192"/>
      <c r="E20" s="212" t="str">
        <f>+VLOOKUP($F$12,tablaCondiciones,2,FALSE)</f>
        <v>45 dias per any (mínim 36 meses màxim 42)</v>
      </c>
      <c r="F20" s="212"/>
      <c r="G20" s="212"/>
      <c r="H20" s="212"/>
      <c r="I20" s="192" t="s">
        <v>230</v>
      </c>
      <c r="J20" s="192"/>
      <c r="K20" s="192"/>
      <c r="L20" s="213">
        <f>+I12*12</f>
        <v>12000</v>
      </c>
      <c r="M20" s="213"/>
      <c r="N20" s="192"/>
    </row>
    <row r="21" spans="1:14" ht="15" customHeight="1" x14ac:dyDescent="0.2">
      <c r="A21" s="192"/>
      <c r="B21" s="192"/>
      <c r="C21" s="192" t="s">
        <v>227</v>
      </c>
      <c r="D21" s="192"/>
      <c r="E21" s="212" t="str">
        <f>+VLOOKUP($F$12,tablaCondiciones,3,FALSE)</f>
        <v>no</v>
      </c>
      <c r="F21" s="212"/>
      <c r="G21" s="212"/>
      <c r="H21" s="212"/>
      <c r="I21" s="192" t="s">
        <v>234</v>
      </c>
      <c r="J21" s="192"/>
      <c r="K21" s="192"/>
      <c r="L21" s="214">
        <f>-J12*12</f>
        <v>0</v>
      </c>
      <c r="M21" s="214"/>
      <c r="N21" s="192"/>
    </row>
    <row r="22" spans="1:14" ht="15" customHeight="1" x14ac:dyDescent="0.2">
      <c r="A22" s="192"/>
      <c r="B22" s="192"/>
      <c r="C22" s="192" t="s">
        <v>228</v>
      </c>
      <c r="D22" s="192"/>
      <c r="E22" s="212" t="str">
        <f>+VLOOKUP($F$12,tablaCondiciones,4,FALSE)</f>
        <v>no</v>
      </c>
      <c r="F22" s="215"/>
      <c r="G22" s="212"/>
      <c r="H22" s="212"/>
      <c r="I22" s="192" t="s">
        <v>225</v>
      </c>
      <c r="J22" s="192"/>
      <c r="K22" s="192"/>
      <c r="L22" s="216">
        <f>+VLOOKUP(I13,plusConvenio,2,FALSE)</f>
        <v>762.84</v>
      </c>
      <c r="M22" s="216"/>
      <c r="N22" s="192"/>
    </row>
    <row r="23" spans="1:14" ht="15" customHeight="1" x14ac:dyDescent="0.2">
      <c r="A23" s="192"/>
      <c r="B23" s="192"/>
      <c r="C23" s="192" t="s">
        <v>33</v>
      </c>
      <c r="D23" s="192"/>
      <c r="E23" s="212" t="str">
        <f>+VLOOKUP($F$12,tablaCondiciones,5,FALSE)</f>
        <v>pòlissa beneficiaris</v>
      </c>
      <c r="F23" s="212"/>
      <c r="G23" s="212"/>
      <c r="H23" s="212"/>
      <c r="I23" s="217" t="s">
        <v>249</v>
      </c>
      <c r="J23" s="218"/>
      <c r="K23" s="218"/>
      <c r="L23" s="219">
        <f>Ingresos_anuales+L21+plusC</f>
        <v>12762.84</v>
      </c>
      <c r="M23" s="216"/>
      <c r="N23" s="192"/>
    </row>
    <row r="24" spans="1:14" ht="15" customHeight="1" x14ac:dyDescent="0.2">
      <c r="A24" s="192"/>
      <c r="B24" s="192"/>
      <c r="C24" s="192" t="s">
        <v>229</v>
      </c>
      <c r="D24" s="192"/>
      <c r="E24" s="220">
        <f>IF(Rentado,simulación!C44,+VLOOKUP(YEAR(naci),marco,7,FALSE))</f>
        <v>0</v>
      </c>
      <c r="F24" s="212"/>
      <c r="G24" s="212"/>
      <c r="H24" s="212"/>
      <c r="I24" s="221" t="s">
        <v>231</v>
      </c>
      <c r="J24" s="222"/>
      <c r="K24" s="192"/>
      <c r="L24" s="286">
        <v>0</v>
      </c>
      <c r="M24" s="223"/>
      <c r="N24" s="328" t="s">
        <v>138</v>
      </c>
    </row>
    <row r="25" spans="1:14" ht="15" customHeight="1" x14ac:dyDescent="0.2">
      <c r="A25" s="192"/>
      <c r="B25" s="192"/>
      <c r="C25" s="192"/>
      <c r="D25" s="192"/>
      <c r="E25" s="192"/>
      <c r="F25" s="192"/>
      <c r="G25" s="192"/>
      <c r="H25" s="192"/>
      <c r="I25" s="221" t="s">
        <v>194</v>
      </c>
      <c r="J25" s="221"/>
      <c r="K25" s="224"/>
      <c r="L25" s="286">
        <v>0</v>
      </c>
      <c r="M25" s="223"/>
      <c r="N25" s="328"/>
    </row>
    <row r="26" spans="1:14" ht="15" customHeight="1" x14ac:dyDescent="0.2">
      <c r="A26" s="192"/>
      <c r="B26" s="225" t="s">
        <v>222</v>
      </c>
      <c r="C26" s="226"/>
      <c r="D26" s="192"/>
      <c r="E26" s="227" t="s">
        <v>223</v>
      </c>
      <c r="F26" s="226"/>
      <c r="G26" s="192"/>
      <c r="H26" s="192"/>
      <c r="I26" s="221" t="s">
        <v>232</v>
      </c>
      <c r="J26" s="221"/>
      <c r="K26" s="224"/>
      <c r="L26" s="286">
        <v>0</v>
      </c>
      <c r="M26" s="223"/>
      <c r="N26" s="328"/>
    </row>
    <row r="27" spans="1:14" ht="15" customHeight="1" x14ac:dyDescent="0.2">
      <c r="A27" s="192"/>
      <c r="B27" s="192"/>
      <c r="C27" s="192"/>
      <c r="D27" s="192"/>
      <c r="E27" s="228"/>
      <c r="F27" s="192"/>
      <c r="G27" s="192"/>
      <c r="H27" s="192"/>
      <c r="I27" s="229" t="s">
        <v>233</v>
      </c>
      <c r="J27" s="230"/>
      <c r="K27" s="230"/>
      <c r="L27" s="231">
        <f>L20+plusC+L24+L25+L26</f>
        <v>12762.84</v>
      </c>
      <c r="M27" s="232"/>
      <c r="N27" s="192"/>
    </row>
    <row r="28" spans="1:14" ht="15" customHeight="1" x14ac:dyDescent="0.2">
      <c r="A28" s="192"/>
      <c r="B28" s="233" t="str">
        <f>IF(colectivo="C","","Meses hasta 63:")</f>
        <v/>
      </c>
      <c r="C28" s="234" t="str">
        <f>IF(colectivo="C","",simulación!K39)</f>
        <v/>
      </c>
      <c r="D28" s="233"/>
      <c r="E28" s="233" t="str">
        <f>IF(Mostrar=TRUE,"Meses Renta","")</f>
        <v/>
      </c>
      <c r="F28" s="234" t="str">
        <f>IF(Mostrar=TRUE,Meses_Renta,"")</f>
        <v/>
      </c>
      <c r="G28" s="192"/>
      <c r="H28" s="192"/>
      <c r="I28" s="222"/>
      <c r="J28" s="222"/>
      <c r="K28" s="222"/>
      <c r="L28" s="222"/>
      <c r="M28" s="222"/>
      <c r="N28" s="192"/>
    </row>
    <row r="29" spans="1:14" ht="15" customHeight="1" x14ac:dyDescent="0.2">
      <c r="A29" s="192"/>
      <c r="B29" s="192"/>
      <c r="C29" s="192"/>
      <c r="D29" s="233"/>
      <c r="E29" s="233" t="str">
        <f>IF(Mostrar=TRUE,"Prima","")</f>
        <v/>
      </c>
      <c r="F29" s="235" t="str">
        <f>IF(Mostrar=TRUE,simulación!Q1,"")</f>
        <v/>
      </c>
      <c r="G29" s="192"/>
      <c r="H29" s="192"/>
      <c r="I29" s="326" t="s">
        <v>235</v>
      </c>
      <c r="J29" s="326"/>
      <c r="K29" s="236">
        <v>40950</v>
      </c>
      <c r="L29" s="237">
        <f>MIN((DATEDIF(D12,"11/02/2012","m")+1)*45/12,1260)</f>
        <v>367.5</v>
      </c>
      <c r="M29" s="237"/>
      <c r="N29" s="238" t="str">
        <f>IF(L29=1260,"Tope Legal","")</f>
        <v/>
      </c>
    </row>
    <row r="30" spans="1:14" ht="15" customHeight="1" x14ac:dyDescent="0.2">
      <c r="A30" s="192"/>
      <c r="B30" s="192" t="s">
        <v>250</v>
      </c>
      <c r="C30" s="239">
        <f>simulación!D16</f>
        <v>37764.019726027393</v>
      </c>
      <c r="D30" s="233"/>
      <c r="E30" s="233" t="str">
        <f>IF(Mostrar=TRUE,"Indemnización","")</f>
        <v/>
      </c>
      <c r="F30" s="235" t="str">
        <f>IF(Mostrar=TRUE,C30+F29,"")</f>
        <v/>
      </c>
      <c r="G30" s="192"/>
      <c r="H30" s="192"/>
      <c r="I30" s="326" t="s">
        <v>236</v>
      </c>
      <c r="J30" s="326"/>
      <c r="K30" s="236">
        <v>40951</v>
      </c>
      <c r="L30" s="237">
        <f>MIN(((DATEDIF(K30,cálculo,"m")+1)*33/12),720)</f>
        <v>247.5</v>
      </c>
      <c r="M30" s="237"/>
      <c r="N30" s="238" t="str">
        <f>IF(L30=720,"Tope Legal","")</f>
        <v/>
      </c>
    </row>
    <row r="31" spans="1:14" ht="15" customHeight="1" x14ac:dyDescent="0.2">
      <c r="A31" s="192"/>
      <c r="B31" s="192" t="s">
        <v>251</v>
      </c>
      <c r="C31" s="239">
        <f>simulación!I15</f>
        <v>26354.159999999996</v>
      </c>
      <c r="D31" s="233"/>
      <c r="E31" s="240" t="str">
        <f>IF(Mostrar=FALSE,"SENSE PAGAMENT FRACCIONAT","")</f>
        <v>SENSE PAGAMENT FRACCIONAT</v>
      </c>
      <c r="F31" s="233"/>
      <c r="G31" s="192"/>
      <c r="H31" s="192"/>
      <c r="I31" s="326" t="s">
        <v>237</v>
      </c>
      <c r="J31" s="326"/>
      <c r="K31" s="221"/>
      <c r="L31" s="237">
        <f>IF(L29&gt;720,MIN(L29,1260),MIN((L29+L30),720))</f>
        <v>615</v>
      </c>
      <c r="M31" s="237"/>
      <c r="N31" s="192"/>
    </row>
    <row r="32" spans="1:14" ht="15" customHeight="1" x14ac:dyDescent="0.2">
      <c r="A32" s="192"/>
      <c r="B32" s="192" t="s">
        <v>254</v>
      </c>
      <c r="C32" s="239">
        <f>C30+C31</f>
        <v>64118.179726027389</v>
      </c>
      <c r="D32" s="233"/>
      <c r="E32" s="233" t="str">
        <f>IF(Mostrar=TRUE,"Renta Bruta Mes","")</f>
        <v/>
      </c>
      <c r="F32" s="235" t="str">
        <f>IF(Mostrar=TRUE,Renta_Mensual,"")</f>
        <v/>
      </c>
      <c r="G32" s="192"/>
      <c r="H32" s="192"/>
      <c r="I32" s="329" t="s">
        <v>238</v>
      </c>
      <c r="J32" s="330"/>
      <c r="K32" s="230"/>
      <c r="L32" s="241">
        <f>IF(+ROUND(L31*salario_indemnizatorio/365,0)&gt;180000,180000,+ROUND(L31*salario_indemnizatorio/365,0))</f>
        <v>21505</v>
      </c>
      <c r="M32" s="242"/>
      <c r="N32" s="238" t="str">
        <f>IF(L32=180000,"Tope Legal","")</f>
        <v/>
      </c>
    </row>
    <row r="33" spans="1:14" ht="15" customHeight="1" x14ac:dyDescent="0.2">
      <c r="A33" s="192"/>
      <c r="B33" s="192"/>
      <c r="C33" s="192"/>
      <c r="D33" s="233"/>
      <c r="E33" s="192"/>
      <c r="F33" s="192"/>
      <c r="G33" s="192"/>
      <c r="H33" s="192"/>
      <c r="I33" s="243"/>
      <c r="J33" s="243"/>
      <c r="K33" s="244"/>
      <c r="L33" s="242"/>
      <c r="M33" s="242"/>
      <c r="N33" s="238"/>
    </row>
    <row r="34" spans="1:14" ht="15" customHeight="1" x14ac:dyDescent="0.2">
      <c r="A34" s="192"/>
      <c r="B34" s="192" t="s">
        <v>252</v>
      </c>
      <c r="C34" s="239" t="e">
        <f ca="1">simulación!D24</f>
        <v>#NAME?</v>
      </c>
      <c r="D34" s="233"/>
      <c r="E34" s="233" t="str">
        <f>IF(Mostrar=TRUE,"Rentas Netas Totales","")</f>
        <v/>
      </c>
      <c r="F34" s="235" t="str">
        <f>IF(Mostrar=TRUE,simulación!Z25,"")</f>
        <v/>
      </c>
      <c r="G34" s="192"/>
      <c r="H34" s="192"/>
      <c r="I34" s="243"/>
      <c r="J34" s="243"/>
      <c r="K34" s="244"/>
      <c r="L34" s="242"/>
      <c r="M34" s="242"/>
      <c r="N34" s="238"/>
    </row>
    <row r="35" spans="1:14" ht="15" customHeight="1" x14ac:dyDescent="0.2">
      <c r="A35" s="192"/>
      <c r="B35" s="192" t="s">
        <v>253</v>
      </c>
      <c r="C35" s="239">
        <f>C31-simulación!I20</f>
        <v>25226.159999999996</v>
      </c>
      <c r="D35" s="233"/>
      <c r="E35" s="233" t="str">
        <f>IF(Mostrar=TRUE,"Desempleo Neto","")</f>
        <v/>
      </c>
      <c r="F35" s="235" t="str">
        <f>IF(Mostrar=TRUE,C35,"")</f>
        <v/>
      </c>
      <c r="G35" s="192"/>
      <c r="H35" s="307" t="str">
        <f>+IF($F$12&lt;&gt;"C","Estimació Pensió Seguridat Social","")</f>
        <v/>
      </c>
      <c r="I35" s="308"/>
      <c r="J35" s="308"/>
      <c r="K35" s="308"/>
      <c r="L35" s="309"/>
      <c r="M35" s="245"/>
      <c r="N35" s="238"/>
    </row>
    <row r="36" spans="1:14" ht="15" customHeight="1" x14ac:dyDescent="0.2">
      <c r="A36" s="192"/>
      <c r="B36" s="233"/>
      <c r="C36" s="239"/>
      <c r="D36" s="233"/>
      <c r="E36" s="233"/>
      <c r="F36" s="235"/>
      <c r="G36" s="192"/>
      <c r="H36" s="310"/>
      <c r="I36" s="311"/>
      <c r="J36" s="311"/>
      <c r="K36" s="311"/>
      <c r="L36" s="312"/>
      <c r="M36" s="245"/>
      <c r="N36" s="238"/>
    </row>
    <row r="37" spans="1:14" ht="15" customHeight="1" x14ac:dyDescent="0.2">
      <c r="A37" s="192"/>
      <c r="B37" s="233" t="s">
        <v>184</v>
      </c>
      <c r="C37" s="239" t="e">
        <f ca="1">C34+C35</f>
        <v>#NAME?</v>
      </c>
      <c r="D37" s="233"/>
      <c r="E37" s="233" t="str">
        <f>IF(Mostrar=TRUE,"Total Neto","")</f>
        <v/>
      </c>
      <c r="F37" s="235" t="str">
        <f>IF(Mostrar=TRUE,simulación!Y25,"")</f>
        <v/>
      </c>
      <c r="G37" s="192"/>
      <c r="H37" s="310"/>
      <c r="I37" s="311"/>
      <c r="J37" s="311"/>
      <c r="K37" s="311"/>
      <c r="L37" s="312"/>
      <c r="M37" s="245"/>
      <c r="N37" s="238"/>
    </row>
    <row r="38" spans="1:14" ht="15" customHeight="1" x14ac:dyDescent="0.2">
      <c r="A38" s="192"/>
      <c r="B38" s="233"/>
      <c r="C38" s="246"/>
      <c r="D38" s="233"/>
      <c r="E38" s="233"/>
      <c r="F38" s="235"/>
      <c r="G38" s="192"/>
      <c r="H38" s="313"/>
      <c r="I38" s="314"/>
      <c r="J38" s="314"/>
      <c r="K38" s="314"/>
      <c r="L38" s="315"/>
      <c r="M38" s="245"/>
      <c r="N38" s="238"/>
    </row>
    <row r="39" spans="1:14" ht="15" customHeight="1" x14ac:dyDescent="0.2">
      <c r="A39" s="192"/>
      <c r="B39" s="247" t="str">
        <f>IF(colectivo="C","","Neto Mensualizado:")</f>
        <v/>
      </c>
      <c r="C39" s="248" t="str">
        <f>IF(colectivo="C","",C37/C28)</f>
        <v/>
      </c>
      <c r="D39" s="249"/>
      <c r="E39" s="249" t="str">
        <f>IF(colectivo&lt;&gt;"C","Neto Mensualizado","")</f>
        <v/>
      </c>
      <c r="F39" s="250" t="str">
        <f>IF(colectivo&lt;&gt;"C",F37/F28,"")</f>
        <v/>
      </c>
      <c r="G39" s="192"/>
      <c r="H39" s="245"/>
      <c r="I39" s="245"/>
      <c r="J39" s="245"/>
      <c r="K39" s="245"/>
      <c r="L39" s="245"/>
      <c r="M39" s="245"/>
      <c r="N39" s="192"/>
    </row>
    <row r="40" spans="1:14" ht="15" customHeight="1" x14ac:dyDescent="0.2">
      <c r="A40" s="192"/>
      <c r="B40" s="192"/>
      <c r="C40" s="192"/>
      <c r="D40" s="201"/>
      <c r="E40" s="192"/>
      <c r="F40" s="192"/>
      <c r="G40" s="192"/>
      <c r="H40" s="251" t="str">
        <f>+IF($F$12&lt;&gt;"C","Cotitzacions prèvies","")</f>
        <v/>
      </c>
      <c r="I40" s="233"/>
      <c r="J40" s="233"/>
      <c r="K40" s="212" t="str">
        <f>+IF($F$12&lt;&gt;"C","dias vida laboral","")</f>
        <v/>
      </c>
      <c r="L40" s="192"/>
      <c r="M40" s="192"/>
      <c r="N40" s="192"/>
    </row>
    <row r="41" spans="1:14" ht="15" customHeight="1" x14ac:dyDescent="0.2">
      <c r="A41" s="192"/>
      <c r="B41" s="252" t="str">
        <f>IF(colectivo="C","","Diferencia Mensualizada")</f>
        <v/>
      </c>
      <c r="C41" s="289" t="str">
        <f>IF(colectivo="C","",F39-C39)</f>
        <v/>
      </c>
      <c r="D41" s="201"/>
      <c r="E41" s="253" t="str">
        <f>IF(colectivo="A","Aportaciones P.Pensiones","")</f>
        <v/>
      </c>
      <c r="F41" s="254" t="str">
        <f>IF(colectivo="A",L12*C28,"")</f>
        <v/>
      </c>
      <c r="G41" s="192"/>
      <c r="H41" s="233" t="str">
        <f>+IF($F$12&lt;&gt;"C","Empresa 1","")</f>
        <v/>
      </c>
      <c r="I41" s="233"/>
      <c r="J41" s="192"/>
      <c r="K41" s="299"/>
      <c r="L41" s="233" t="str">
        <f>+IF($F$12&lt;&gt;"C","dias","")</f>
        <v/>
      </c>
      <c r="M41" s="233"/>
      <c r="N41" s="192"/>
    </row>
    <row r="42" spans="1:14" ht="15" customHeight="1" x14ac:dyDescent="0.2">
      <c r="A42" s="192"/>
      <c r="B42" s="201"/>
      <c r="C42" s="255"/>
      <c r="D42" s="201"/>
      <c r="E42" s="201"/>
      <c r="F42" s="201"/>
      <c r="G42" s="192"/>
      <c r="H42" s="233" t="str">
        <f>+IF($F$12&lt;&gt;"C","Empresa 2","")</f>
        <v/>
      </c>
      <c r="I42" s="233"/>
      <c r="J42" s="192"/>
      <c r="K42" s="299"/>
      <c r="L42" s="233" t="str">
        <f>+IF($F$12&lt;&gt;"C","dias","")</f>
        <v/>
      </c>
      <c r="M42" s="233"/>
      <c r="N42" s="192"/>
    </row>
    <row r="43" spans="1:14" ht="15" customHeight="1" x14ac:dyDescent="0.2">
      <c r="A43" s="192"/>
      <c r="B43" s="201"/>
      <c r="C43" s="255"/>
      <c r="D43" s="201"/>
      <c r="E43" s="201"/>
      <c r="F43" s="192"/>
      <c r="G43" s="192"/>
      <c r="H43" s="233" t="str">
        <f>+IF($F$12&lt;&gt;"C","Empresa 3","")</f>
        <v/>
      </c>
      <c r="I43" s="233"/>
      <c r="J43" s="192"/>
      <c r="K43" s="299"/>
      <c r="L43" s="233" t="str">
        <f>+IF($F$12&lt;&gt;"C","dias","")</f>
        <v/>
      </c>
      <c r="M43" s="233"/>
      <c r="N43" s="192"/>
    </row>
    <row r="44" spans="1:14" ht="15" customHeight="1" x14ac:dyDescent="0.2">
      <c r="A44" s="192"/>
      <c r="B44" s="290" t="s">
        <v>199</v>
      </c>
      <c r="C44" s="292" t="e">
        <f>+C39/Salario_Neto</f>
        <v>#VALUE!</v>
      </c>
      <c r="D44" s="291"/>
      <c r="E44" s="291"/>
      <c r="F44" s="293" t="e">
        <f>+F39/Salario_Neto</f>
        <v>#VALUE!</v>
      </c>
      <c r="G44" s="192"/>
      <c r="H44" s="233" t="str">
        <f>+IF($F$12&lt;&gt;"C","Cotitzacions prèvies:","")</f>
        <v/>
      </c>
      <c r="I44" s="233"/>
      <c r="J44" s="192"/>
      <c r="K44" s="256" t="str">
        <f>+IF($F$12&lt;&gt;"C",(+K41+K42+K43)/365.25,"")</f>
        <v/>
      </c>
      <c r="L44" s="233" t="str">
        <f>+IF($F$12&lt;&gt;"C","anys","")</f>
        <v/>
      </c>
      <c r="M44" s="233"/>
      <c r="N44" s="192"/>
    </row>
    <row r="45" spans="1:14" ht="15" customHeight="1" x14ac:dyDescent="0.2">
      <c r="A45" s="192"/>
      <c r="B45" s="201"/>
      <c r="C45" s="255"/>
      <c r="D45" s="201"/>
      <c r="E45" s="201"/>
      <c r="F45" s="192"/>
      <c r="G45" s="192"/>
      <c r="H45" s="233" t="str">
        <f>+IF($F$12&lt;&gt;"C","Cotitzacions a Caixabank:","")</f>
        <v/>
      </c>
      <c r="I45" s="233"/>
      <c r="J45" s="192"/>
      <c r="K45" s="256" t="str">
        <f>+IF($F$12&lt;&gt;"C",ROUND(YEARFRAC(D12,K47,1),2),"")</f>
        <v/>
      </c>
      <c r="L45" s="233" t="str">
        <f>+IF($F$12&lt;&gt;"C","anys","")</f>
        <v/>
      </c>
      <c r="M45" s="233"/>
      <c r="N45" s="192"/>
    </row>
    <row r="46" spans="1:14" ht="15" customHeight="1" x14ac:dyDescent="0.2">
      <c r="A46" s="192"/>
      <c r="B46" s="257"/>
      <c r="C46" s="258"/>
      <c r="D46" s="257"/>
      <c r="E46" s="257"/>
      <c r="F46" s="258"/>
      <c r="G46" s="192"/>
      <c r="H46" s="192"/>
      <c r="I46" s="192"/>
      <c r="J46" s="192"/>
      <c r="K46" s="192"/>
      <c r="L46" s="259"/>
      <c r="M46" s="259"/>
      <c r="N46" s="192"/>
    </row>
    <row r="47" spans="1:14" ht="15" customHeight="1" x14ac:dyDescent="0.2">
      <c r="A47" s="192"/>
      <c r="B47" s="317" t="s">
        <v>265</v>
      </c>
      <c r="C47" s="318"/>
      <c r="D47" s="318"/>
      <c r="E47" s="318"/>
      <c r="F47" s="319"/>
      <c r="G47" s="192"/>
      <c r="H47" s="192" t="str">
        <f>+IF($F$12="C","","Compliment dels 63 any:")</f>
        <v/>
      </c>
      <c r="I47" s="192"/>
      <c r="J47" s="192"/>
      <c r="K47" s="259" t="str">
        <f>+IF($F$12="C","",DATE(YEAR(C12)+63,MONTH(C12),DAY(C12)))</f>
        <v/>
      </c>
      <c r="L47" s="192"/>
      <c r="M47" s="192"/>
      <c r="N47" s="192"/>
    </row>
    <row r="48" spans="1:14" ht="15" customHeight="1" x14ac:dyDescent="0.2">
      <c r="A48" s="192"/>
      <c r="B48" s="320"/>
      <c r="C48" s="321"/>
      <c r="D48" s="321"/>
      <c r="E48" s="321"/>
      <c r="F48" s="322"/>
      <c r="G48" s="192"/>
      <c r="H48" s="192" t="str">
        <f>+IF($F$12="C","","Anys cotitzats:")</f>
        <v/>
      </c>
      <c r="I48" s="192"/>
      <c r="J48" s="192"/>
      <c r="K48" s="238" t="str">
        <f>+IF($F$12="C","",+K44+K45)</f>
        <v/>
      </c>
      <c r="L48" s="192"/>
      <c r="M48" s="192"/>
      <c r="N48" s="192"/>
    </row>
    <row r="49" spans="1:14" ht="15" customHeight="1" x14ac:dyDescent="0.2">
      <c r="A49" s="192"/>
      <c r="B49" s="323"/>
      <c r="C49" s="324"/>
      <c r="D49" s="324"/>
      <c r="E49" s="324"/>
      <c r="F49" s="325"/>
      <c r="G49" s="192"/>
      <c r="H49" s="192"/>
      <c r="I49" s="192"/>
      <c r="J49" s="192"/>
      <c r="K49" s="192"/>
      <c r="L49" s="192"/>
      <c r="M49" s="192"/>
      <c r="N49" s="192"/>
    </row>
    <row r="50" spans="1:14" ht="15" customHeight="1" x14ac:dyDescent="0.2">
      <c r="A50" s="192"/>
      <c r="B50" s="260" t="s">
        <v>239</v>
      </c>
      <c r="C50" s="260" t="s">
        <v>240</v>
      </c>
      <c r="D50" s="261" t="s">
        <v>241</v>
      </c>
      <c r="E50" s="260" t="s">
        <v>184</v>
      </c>
      <c r="F50" s="260" t="s">
        <v>242</v>
      </c>
      <c r="G50" s="192"/>
      <c r="H50" s="262" t="str">
        <f>+IF($F$12&lt;&gt;"C","Edat ordinària jubilació:","")</f>
        <v/>
      </c>
      <c r="I50" s="192"/>
      <c r="J50" s="192"/>
      <c r="K50" s="238" t="str">
        <f>+IF($F$12&lt;&gt;"C",+pensiones!L22,"")</f>
        <v/>
      </c>
      <c r="L50" s="192"/>
      <c r="M50" s="192"/>
      <c r="N50" s="192"/>
    </row>
    <row r="51" spans="1:14" ht="15" customHeight="1" x14ac:dyDescent="0.2">
      <c r="A51" s="192"/>
      <c r="B51" s="263">
        <f>simulación!AA10</f>
        <v>2019</v>
      </c>
      <c r="C51" s="264">
        <f>simulación!AB10</f>
        <v>5255.45</v>
      </c>
      <c r="D51" s="264">
        <f>simulación!AC10</f>
        <v>1966.87602739726</v>
      </c>
      <c r="E51" s="264">
        <f>C51+D51</f>
        <v>7222.3260273972601</v>
      </c>
      <c r="F51" s="264">
        <f t="shared" ref="F51" si="0">E51/Meses_Primer_año</f>
        <v>1444.4652054794519</v>
      </c>
      <c r="G51" s="192"/>
      <c r="H51" s="262" t="str">
        <f>+IF($F$12&lt;&gt;"C","Anys anticipats:","")</f>
        <v/>
      </c>
      <c r="I51" s="192"/>
      <c r="J51" s="192"/>
      <c r="K51" s="265" t="str">
        <f>+IF($F$12&lt;&gt;"C",+pensiones!I24,"")</f>
        <v/>
      </c>
      <c r="L51" s="192"/>
      <c r="M51" s="192"/>
      <c r="N51" s="192"/>
    </row>
    <row r="52" spans="1:14" ht="15" customHeight="1" x14ac:dyDescent="0.2">
      <c r="A52" s="192"/>
      <c r="B52" s="263">
        <f>simulación!AA11</f>
        <v>2020</v>
      </c>
      <c r="C52" s="264">
        <f>simulación!AB11</f>
        <v>12613.079999999996</v>
      </c>
      <c r="D52" s="264">
        <f>simulación!AC11</f>
        <v>4720.5024657534241</v>
      </c>
      <c r="E52" s="264">
        <f t="shared" ref="E52:E62" si="1">C52+D52</f>
        <v>17333.582465753421</v>
      </c>
      <c r="F52" s="264">
        <f>IF(simulación!K11=0,0,E52/simulación!K11)</f>
        <v>1444.4652054794517</v>
      </c>
      <c r="G52" s="192"/>
      <c r="H52" s="262" t="str">
        <f>+IF($F$12&lt;&gt;"C","Trimestres anticipats:","")</f>
        <v/>
      </c>
      <c r="I52" s="192"/>
      <c r="J52" s="192"/>
      <c r="K52" s="265" t="str">
        <f>+IF($F$12&lt;&gt;"C",+pensiones!I25,"")</f>
        <v/>
      </c>
      <c r="L52" s="192"/>
      <c r="M52" s="192"/>
      <c r="N52" s="192"/>
    </row>
    <row r="53" spans="1:14" ht="15" customHeight="1" x14ac:dyDescent="0.2">
      <c r="A53" s="192"/>
      <c r="B53" s="263">
        <f>simulación!AA12</f>
        <v>2021</v>
      </c>
      <c r="C53" s="264">
        <f>simulación!AB12</f>
        <v>7357.6299999999983</v>
      </c>
      <c r="D53" s="264">
        <f>simulación!AC12</f>
        <v>4720.5024657534241</v>
      </c>
      <c r="E53" s="264">
        <f t="shared" si="1"/>
        <v>12078.132465753422</v>
      </c>
      <c r="F53" s="264">
        <f>IF(simulación!K12=0,0,E53/simulación!K12)</f>
        <v>1006.5110388127852</v>
      </c>
      <c r="G53" s="192"/>
      <c r="H53" s="192"/>
      <c r="I53" s="192"/>
      <c r="J53" s="192"/>
      <c r="K53" s="192"/>
      <c r="L53" s="192"/>
      <c r="M53" s="192"/>
      <c r="N53" s="192"/>
    </row>
    <row r="54" spans="1:14" ht="15" customHeight="1" x14ac:dyDescent="0.2">
      <c r="A54" s="192"/>
      <c r="B54" s="263">
        <f>simulación!AA13</f>
        <v>2022</v>
      </c>
      <c r="C54" s="264">
        <f>simulación!AB13</f>
        <v>0</v>
      </c>
      <c r="D54" s="264">
        <f>simulación!AC13</f>
        <v>4720.5024657534241</v>
      </c>
      <c r="E54" s="264">
        <f t="shared" si="1"/>
        <v>4720.5024657534241</v>
      </c>
      <c r="F54" s="264">
        <f>IF(simulación!K13=0,0,E54/simulación!K13)</f>
        <v>393.37520547945201</v>
      </c>
      <c r="G54" s="192"/>
      <c r="H54" s="301" t="str">
        <f>+IF($F$12&lt;&gt;"C","Pensió aproximada damunt taules actuals","")</f>
        <v/>
      </c>
      <c r="I54" s="302"/>
      <c r="J54" s="302"/>
      <c r="K54" s="302"/>
      <c r="L54" s="303"/>
      <c r="M54" s="266"/>
      <c r="N54" s="192"/>
    </row>
    <row r="55" spans="1:14" ht="15" customHeight="1" x14ac:dyDescent="0.2">
      <c r="A55" s="192"/>
      <c r="B55" s="263">
        <f>simulación!AA14</f>
        <v>2023</v>
      </c>
      <c r="C55" s="264">
        <f>simulación!AB14</f>
        <v>0</v>
      </c>
      <c r="D55" s="264">
        <f>simulación!AC14</f>
        <v>4720.5024657534241</v>
      </c>
      <c r="E55" s="264">
        <f t="shared" si="1"/>
        <v>4720.5024657534241</v>
      </c>
      <c r="F55" s="264">
        <f>IF(simulación!K14=0,0,E55/simulación!K14)</f>
        <v>393.37520547945201</v>
      </c>
      <c r="G55" s="192"/>
      <c r="H55" s="304" t="str">
        <f>+IF($F$12&lt;&gt;"C","en el suposat de màximes cotitzacions de forma continuada","")</f>
        <v/>
      </c>
      <c r="I55" s="305"/>
      <c r="J55" s="305"/>
      <c r="K55" s="305"/>
      <c r="L55" s="306"/>
      <c r="M55" s="266"/>
      <c r="N55" s="192"/>
    </row>
    <row r="56" spans="1:14" ht="15" customHeight="1" x14ac:dyDescent="0.2">
      <c r="A56" s="192"/>
      <c r="B56" s="263">
        <f>simulación!AA15</f>
        <v>2024</v>
      </c>
      <c r="C56" s="264">
        <f>simulación!AB15</f>
        <v>0</v>
      </c>
      <c r="D56" s="264">
        <f>simulación!AC15</f>
        <v>4720.5024657534241</v>
      </c>
      <c r="E56" s="264">
        <f t="shared" si="1"/>
        <v>4720.5024657534241</v>
      </c>
      <c r="F56" s="264">
        <f>IF(simulación!K15=0,0,E56/simulación!K15)</f>
        <v>393.37520547945201</v>
      </c>
      <c r="G56" s="192"/>
      <c r="H56" s="192"/>
      <c r="I56" s="192"/>
      <c r="J56" s="192"/>
      <c r="K56" s="192"/>
      <c r="L56" s="192"/>
      <c r="M56" s="192"/>
      <c r="N56" s="192"/>
    </row>
    <row r="57" spans="1:14" ht="15" customHeight="1" x14ac:dyDescent="0.2">
      <c r="A57" s="192"/>
      <c r="B57" s="263">
        <f>simulación!AA16</f>
        <v>2025</v>
      </c>
      <c r="C57" s="264">
        <f>simulación!AB16</f>
        <v>0</v>
      </c>
      <c r="D57" s="264">
        <f>simulación!AC16</f>
        <v>4720.5024657534241</v>
      </c>
      <c r="E57" s="264">
        <f t="shared" si="1"/>
        <v>4720.5024657534241</v>
      </c>
      <c r="F57" s="264">
        <f>IF(simulación!K16=0,0,E57/simulación!K16)</f>
        <v>393.37520547945201</v>
      </c>
      <c r="G57" s="192"/>
      <c r="H57" s="192"/>
      <c r="I57" s="192"/>
      <c r="J57" s="192"/>
      <c r="K57" s="267" t="str">
        <f>+IF($F$12&lt;&gt;"C","Descompte","")</f>
        <v/>
      </c>
      <c r="L57" s="192"/>
      <c r="M57" s="192"/>
      <c r="N57" s="192"/>
    </row>
    <row r="58" spans="1:14" ht="15" customHeight="1" x14ac:dyDescent="0.2">
      <c r="A58" s="192"/>
      <c r="B58" s="263">
        <f>simulación!AA17</f>
        <v>2026</v>
      </c>
      <c r="C58" s="264">
        <f>simulación!AB17</f>
        <v>0</v>
      </c>
      <c r="D58" s="264">
        <f>simulación!AC17</f>
        <v>4720.5024657534241</v>
      </c>
      <c r="E58" s="264">
        <f t="shared" si="1"/>
        <v>4720.5024657534241</v>
      </c>
      <c r="F58" s="264">
        <f>IF(simulación!K17=0,0,E58/simulación!K17)</f>
        <v>393.37520547945201</v>
      </c>
      <c r="G58" s="192"/>
      <c r="H58" s="262" t="str">
        <f>+IF($F$12&lt;&gt;"C","Base Reguladora","")</f>
        <v/>
      </c>
      <c r="I58" s="192"/>
      <c r="J58" s="268" t="str">
        <f>+IF($F$12&lt;&gt;"C",+pensiones!J34,"")</f>
        <v/>
      </c>
      <c r="K58" s="269" t="str">
        <f>+IF($F$12&lt;&gt;"C",+pensiones!K25,"")</f>
        <v/>
      </c>
      <c r="L58" s="268" t="str">
        <f>+IF($F$12&lt;&gt;"C",+pensiones!L34,"")</f>
        <v/>
      </c>
      <c r="M58" s="268"/>
      <c r="N58" s="192"/>
    </row>
    <row r="59" spans="1:14" ht="15" customHeight="1" x14ac:dyDescent="0.2">
      <c r="A59" s="192"/>
      <c r="B59" s="263">
        <f>simulación!AA18</f>
        <v>2027</v>
      </c>
      <c r="C59" s="264">
        <f>simulación!AB18</f>
        <v>0</v>
      </c>
      <c r="D59" s="264">
        <f>simulación!AC18</f>
        <v>2753.6264383561638</v>
      </c>
      <c r="E59" s="264">
        <f t="shared" si="1"/>
        <v>2753.6264383561638</v>
      </c>
      <c r="F59" s="264">
        <f>IF(simulación!K18=0,0,E59/simulación!K18)</f>
        <v>393.37520547945195</v>
      </c>
      <c r="G59" s="192"/>
      <c r="H59" s="262" t="str">
        <f>+IF($F$12&lt;&gt;"C","Pensió Màxima","")</f>
        <v/>
      </c>
      <c r="I59" s="192"/>
      <c r="J59" s="268" t="str">
        <f>+IF($F$12&lt;&gt;"C",+pensiones!J35,"")</f>
        <v/>
      </c>
      <c r="K59" s="269" t="str">
        <f>+IF($F$12&lt;&gt;"C",+pensiones!K24,"")</f>
        <v/>
      </c>
      <c r="L59" s="268" t="str">
        <f>+IF($F$12&lt;&gt;"C",+pensiones!L35,"")</f>
        <v/>
      </c>
      <c r="M59" s="268"/>
      <c r="N59" s="192"/>
    </row>
    <row r="60" spans="1:14" ht="15" customHeight="1" x14ac:dyDescent="0.2">
      <c r="A60" s="192"/>
      <c r="B60" s="263">
        <f>simulación!AA19</f>
        <v>2028</v>
      </c>
      <c r="C60" s="264">
        <f>simulación!AB19</f>
        <v>0</v>
      </c>
      <c r="D60" s="264">
        <f>simulación!AC19</f>
        <v>0</v>
      </c>
      <c r="E60" s="264">
        <f t="shared" si="1"/>
        <v>0</v>
      </c>
      <c r="F60" s="264">
        <f>IF(simulación!K19=0,0,E60/simulación!K19)</f>
        <v>0</v>
      </c>
      <c r="G60" s="192"/>
      <c r="H60" s="192"/>
      <c r="I60" s="192"/>
      <c r="J60" s="270" t="str">
        <f>+IF($F$12&lt;&gt;"C"," Pensió anual estimada:","")</f>
        <v/>
      </c>
      <c r="K60" s="271"/>
      <c r="L60" s="272" t="str">
        <f>+IF($F$12&lt;&gt;"C",+pensiones!L36,"")</f>
        <v/>
      </c>
      <c r="M60" s="273"/>
      <c r="N60" s="192"/>
    </row>
    <row r="61" spans="1:14" ht="15" customHeight="1" x14ac:dyDescent="0.2">
      <c r="A61" s="192"/>
      <c r="B61" s="263">
        <f>simulación!AA20</f>
        <v>2029</v>
      </c>
      <c r="C61" s="264">
        <f>simulación!AB20</f>
        <v>0</v>
      </c>
      <c r="D61" s="264">
        <f>simulación!AC20</f>
        <v>0</v>
      </c>
      <c r="E61" s="264">
        <f t="shared" si="1"/>
        <v>0</v>
      </c>
      <c r="F61" s="264">
        <f>IF(simulación!K20=0,0,E61/simulación!K20)</f>
        <v>0</v>
      </c>
      <c r="G61" s="192"/>
      <c r="H61" s="192"/>
      <c r="I61" s="192"/>
      <c r="J61" s="274" t="str">
        <f>+IF($F$12&lt;&gt;"C","14 pagues","")</f>
        <v/>
      </c>
      <c r="K61" s="257"/>
      <c r="L61" s="275" t="str">
        <f>+IF($F$12&lt;&gt;"C",+pensiones!L37,"")</f>
        <v/>
      </c>
      <c r="M61" s="273"/>
      <c r="N61" s="192"/>
    </row>
    <row r="62" spans="1:14" ht="15" customHeight="1" x14ac:dyDescent="0.2">
      <c r="A62" s="192"/>
      <c r="B62" s="263">
        <f>simulación!AA21</f>
        <v>2030</v>
      </c>
      <c r="C62" s="264">
        <f>simulación!AB21</f>
        <v>0</v>
      </c>
      <c r="D62" s="264">
        <f>simulación!AC21</f>
        <v>0</v>
      </c>
      <c r="E62" s="264">
        <f t="shared" si="1"/>
        <v>0</v>
      </c>
      <c r="F62" s="264">
        <f>IF(simulación!K21=0,0,E62/simulación!K21)</f>
        <v>0</v>
      </c>
      <c r="G62" s="192"/>
      <c r="H62" s="192"/>
      <c r="I62" s="192"/>
      <c r="J62" s="192"/>
      <c r="K62" s="192"/>
      <c r="L62" s="192"/>
      <c r="M62" s="192"/>
      <c r="N62" s="192"/>
    </row>
    <row r="63" spans="1:14" ht="15" customHeight="1" x14ac:dyDescent="0.2">
      <c r="A63" s="192"/>
      <c r="B63" s="192"/>
      <c r="C63" s="276"/>
      <c r="D63" s="276"/>
      <c r="E63" s="277"/>
      <c r="F63" s="277"/>
      <c r="G63" s="192"/>
      <c r="H63" s="192"/>
      <c r="I63" s="192"/>
      <c r="J63" s="192"/>
      <c r="K63" s="192"/>
      <c r="L63" s="192"/>
      <c r="M63" s="192"/>
      <c r="N63" s="192"/>
    </row>
    <row r="64" spans="1:14" ht="15" customHeight="1" x14ac:dyDescent="0.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ht="15" customHeight="1" x14ac:dyDescent="0.2">
      <c r="A65" s="192"/>
      <c r="B65" s="278" t="s">
        <v>243</v>
      </c>
      <c r="C65" s="279"/>
      <c r="D65" s="279"/>
      <c r="E65" s="279"/>
      <c r="F65" s="279"/>
      <c r="G65" s="279"/>
      <c r="H65" s="279"/>
      <c r="I65" s="279"/>
      <c r="J65" s="279"/>
      <c r="K65" s="192"/>
      <c r="L65" s="192"/>
      <c r="M65" s="192"/>
      <c r="N65" s="192"/>
    </row>
    <row r="66" spans="1:14" ht="15" customHeight="1" x14ac:dyDescent="0.2">
      <c r="A66" s="192"/>
      <c r="B66" s="278" t="s">
        <v>244</v>
      </c>
      <c r="C66" s="278"/>
      <c r="D66" s="278"/>
      <c r="E66" s="278"/>
      <c r="F66" s="278"/>
      <c r="G66" s="278"/>
      <c r="H66" s="278"/>
      <c r="I66" s="278"/>
      <c r="J66" s="279"/>
      <c r="K66" s="192"/>
      <c r="L66" s="192"/>
      <c r="M66" s="192"/>
      <c r="N66" s="192"/>
    </row>
    <row r="67" spans="1:14" ht="15" customHeight="1" x14ac:dyDescent="0.2">
      <c r="A67" s="192"/>
      <c r="B67" s="278" t="s">
        <v>245</v>
      </c>
      <c r="C67" s="278"/>
      <c r="D67" s="278"/>
      <c r="E67" s="278"/>
      <c r="F67" s="278"/>
      <c r="G67" s="278"/>
      <c r="H67" s="278"/>
      <c r="I67" s="278"/>
      <c r="J67" s="279"/>
      <c r="K67" s="192"/>
      <c r="L67" s="192"/>
      <c r="M67" s="192"/>
      <c r="N67" s="192"/>
    </row>
    <row r="68" spans="1:14" ht="15" customHeight="1" x14ac:dyDescent="0.2">
      <c r="A68" s="192"/>
      <c r="B68" s="278" t="s">
        <v>246</v>
      </c>
      <c r="C68" s="278"/>
      <c r="D68" s="278"/>
      <c r="E68" s="278"/>
      <c r="F68" s="278"/>
      <c r="G68" s="278"/>
      <c r="H68" s="278"/>
      <c r="I68" s="278"/>
      <c r="J68" s="280"/>
      <c r="K68" s="192"/>
      <c r="L68" s="192"/>
      <c r="M68" s="192"/>
      <c r="N68" s="192"/>
    </row>
    <row r="69" spans="1:14" ht="15" customHeight="1" x14ac:dyDescent="0.2">
      <c r="A69" s="192"/>
      <c r="B69" s="278" t="s">
        <v>247</v>
      </c>
      <c r="C69" s="278"/>
      <c r="D69" s="278"/>
      <c r="E69" s="278"/>
      <c r="F69" s="278"/>
      <c r="G69" s="278"/>
      <c r="H69" s="278"/>
      <c r="I69" s="278"/>
      <c r="J69" s="280"/>
      <c r="K69" s="192"/>
      <c r="L69" s="192"/>
      <c r="M69" s="192"/>
      <c r="N69" s="192"/>
    </row>
    <row r="70" spans="1:14" ht="15" customHeight="1" x14ac:dyDescent="0.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259">
        <f ca="1">TODAY()</f>
        <v>43601</v>
      </c>
    </row>
  </sheetData>
  <dataConsolidate/>
  <mergeCells count="12">
    <mergeCell ref="N11:N13"/>
    <mergeCell ref="N24:N26"/>
    <mergeCell ref="I31:J31"/>
    <mergeCell ref="I32:J32"/>
    <mergeCell ref="I19:L19"/>
    <mergeCell ref="H54:L54"/>
    <mergeCell ref="H55:L55"/>
    <mergeCell ref="H35:L38"/>
    <mergeCell ref="F7:L9"/>
    <mergeCell ref="B47:F49"/>
    <mergeCell ref="I29:J29"/>
    <mergeCell ref="I30:J30"/>
  </mergeCells>
  <conditionalFormatting sqref="B51:F63">
    <cfRule type="expression" dxfId="23" priority="2">
      <formula>No_mostrar</formula>
    </cfRule>
  </conditionalFormatting>
  <conditionalFormatting sqref="B44:F44">
    <cfRule type="expression" dxfId="22" priority="1">
      <formula>YEAR(naci)&gt;1967</formula>
    </cfRule>
  </conditionalFormatting>
  <dataValidations xWindow="592" yWindow="468" count="23">
    <dataValidation type="decimal" allowBlank="1" showInputMessage="1" showErrorMessage="1" promptTitle="DEDUCCIÓN PROGRESIVA" prompt="_x000a_Introducir la deducción progresiva de la última nómina. _x000a_Corresponde a la ADECUACIÓN PROGRESIVA (ALI empresas integradas)" sqref="J12">
      <formula1>0</formula1>
      <formula2>I12</formula2>
    </dataValidation>
    <dataValidation type="date" allowBlank="1" showInputMessage="1" showErrorMessage="1" sqref="F30">
      <formula1>D13</formula1>
      <formula2>E13</formula2>
    </dataValidation>
    <dataValidation type="date" allowBlank="1" showInputMessage="1" showErrorMessage="1" sqref="K41">
      <formula1>H17</formula1>
      <formula2>I17</formula2>
    </dataValidation>
    <dataValidation type="date" allowBlank="1" showInputMessage="1" showErrorMessage="1" sqref="K43">
      <formula1>L45</formula1>
      <formula2>J17</formula2>
    </dataValidation>
    <dataValidation type="date" allowBlank="1" showInputMessage="1" showErrorMessage="1" sqref="K42">
      <formula1>L44</formula1>
      <formula2>I17</formula2>
    </dataValidation>
    <dataValidation type="date" allowBlank="1" showInputMessage="1" showErrorMessage="1" sqref="L46:M46">
      <formula1>K43</formula1>
      <formula2>I17</formula2>
    </dataValidation>
    <dataValidation allowBlank="1" showInputMessage="1" showErrorMessage="1" prompt="Buscar en la nómina de septiembre" sqref="L24:M24"/>
    <dataValidation allowBlank="1" showInputMessage="1" showErrorMessage="1" prompt="Buscar en la nómina de febrero/marzo" sqref="L25:M25"/>
    <dataValidation allowBlank="1" showInputMessage="1" showErrorMessage="1" prompt="Buscar en certificado de retenciones anual. Aquí van incluidas pólizas de seguros sanitaria" sqref="L26:M26"/>
    <dataValidation type="date" allowBlank="1" showInputMessage="1" showErrorMessage="1" promptTitle="FECHA DE NACIMIENTO" prompt="FORMATO dd/mm/aa" sqref="C12">
      <formula1>18264</formula1>
      <formula2>36515</formula2>
    </dataValidation>
    <dataValidation type="date" allowBlank="1" showInputMessage="1" showErrorMessage="1" promptTitle="FECHA DE ANTIGÜEDAD" prompt="formato dd/mm/aa_x000a_ANTIGÜEDAD MÍNIMA DE 6 AÑOS AL 08/05/2019" sqref="D12">
      <formula1>25569</formula1>
      <formula2>41402</formula2>
    </dataValidation>
    <dataValidation type="decimal" allowBlank="1" showInputMessage="1" showErrorMessage="1" promptTitle="INGRESOS BRUTO MENSUALES" prompt="_x000a_Sin incluir variables, bonus, dietas, plus convenio, ayuda de estudios..._x000a__x000a_Total de la primera columna de ingresos de la última nómina restando conceptos no mensuales" sqref="I12">
      <formula1>0</formula1>
      <formula2>20000</formula2>
    </dataValidation>
    <dataValidation type="decimal" allowBlank="1" showErrorMessage="1" promptTitle="TIPO DE RETENCIÓN" prompt="Introducir el tipo usado en la nómina de MAYO que no tiene regularización por rendimientos en especie" sqref="K12">
      <formula1>0</formula1>
      <formula2>50</formula2>
    </dataValidation>
    <dataValidation allowBlank="1" showInputMessage="1" showErrorMessage="1" promptTitle="Cuota IRPF acumulada" prompt="_x000a_De la casilla Cuota acumulada de la nómina_x000a_" sqref="L14:M14"/>
    <dataValidation type="list" allowBlank="1" showInputMessage="1" showErrorMessage="1" prompt="Número de hijos menores de 25 años sin ingresos (criterio fiscal)" sqref="C15">
      <formula1>"0,1,2,3,4,5,6,,8,9"</formula1>
    </dataValidation>
    <dataValidation type="list" allowBlank="1" showInputMessage="1" showErrorMessage="1" promptTitle="Introducir Nivel Salarial" prompt="Nivel salarial actual" sqref="I13">
      <formula1>nivel_salarial</formula1>
    </dataValidation>
    <dataValidation allowBlank="1" showInputMessage="1" showErrorMessage="1" promptTitle="Ingresos IRPF acumulados" prompt="_x000a_De la casilla Base acumulada de la nómina" sqref="I14"/>
    <dataValidation type="decimal" allowBlank="1" showInputMessage="1" showErrorMessage="1" promptTitle="APORTACIÓN FONDO PENSIONES" prompt="_x000a_Importe de la última aportación mensual al plan de pensiones._x000a__x000a_Casilla Aportación mes de la nómina" sqref="L12:M12">
      <formula1>0</formula1>
      <formula2>18000</formula2>
    </dataValidation>
    <dataValidation allowBlank="1" showErrorMessage="1" promptTitle="Mes de los datos de la nómina" prompt="_x000a_Indicar el número del mes de la nómina de la que se han introducido los datos. _x000a__x000a_Preferentemente la última" sqref="I16"/>
    <dataValidation allowBlank="1" showInputMessage="1" showErrorMessage="1" promptTitle="Mes de los datos de la nómina" prompt="_x000a_Indicar el mes de la nómina de la que se han introducido los datos. Preferentemente la última" sqref="I16:I18"/>
    <dataValidation type="decimal" allowBlank="1" showInputMessage="1" showErrorMessage="1" promptTitle="Neto mes" prompt="_x000a_Suma del cobro día 14 y penúltimo del mes._x000a__x000a_(debe ser una nómina sin ingresos no mensuales)_x000a_" sqref="M15">
      <formula1>0</formula1>
      <formula2>18000</formula2>
    </dataValidation>
    <dataValidation type="list" allowBlank="1" showInputMessage="1" showErrorMessage="1" sqref="E12">
      <formula1>"01/08/2019,01/07/2020"</formula1>
    </dataValidation>
    <dataValidation allowBlank="1" prompt="_x000a__x000a__x000a_" sqref="L15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9" orientation="portrait" r:id="rId1"/>
  <ignoredErrors>
    <ignoredError sqref="F30" unlockedFormula="1"/>
    <ignoredError sqref="D51:F51 D63:F63 D52:E52 D53:E53 D54:E54 D55:E62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locked="0"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123825</xdr:rowOff>
                  </from>
                  <to>
                    <xdr:col>4</xdr:col>
                    <xdr:colOff>933450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Button 17">
              <controlPr defaultSize="0" print="0" autoFill="0" autoPict="0" macro="[0]!Macro2">
                <anchor moveWithCells="1" sizeWithCells="1">
                  <from>
                    <xdr:col>11</xdr:col>
                    <xdr:colOff>695325</xdr:colOff>
                    <xdr:row>4</xdr:row>
                    <xdr:rowOff>19050</xdr:rowOff>
                  </from>
                  <to>
                    <xdr:col>13</xdr:col>
                    <xdr:colOff>628650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>
      <selection activeCell="I21" sqref="I21"/>
    </sheetView>
  </sheetViews>
  <sheetFormatPr baseColWidth="10" defaultRowHeight="12.75" x14ac:dyDescent="0.2"/>
  <cols>
    <col min="1" max="3" width="11.42578125" style="133"/>
    <col min="4" max="4" width="33.28515625" style="133" customWidth="1"/>
    <col min="5" max="16384" width="11.42578125" style="133"/>
  </cols>
  <sheetData/>
  <sheetProtection password="F11D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F59"/>
  <sheetViews>
    <sheetView topLeftCell="B1" workbookViewId="0">
      <selection activeCell="I28" sqref="I28"/>
    </sheetView>
  </sheetViews>
  <sheetFormatPr baseColWidth="10" defaultRowHeight="12.75" x14ac:dyDescent="0.2"/>
  <cols>
    <col min="1" max="1" width="5.28515625" style="1" customWidth="1"/>
    <col min="2" max="2" width="22.140625" style="1" bestFit="1" customWidth="1"/>
    <col min="3" max="5" width="11.42578125" style="1"/>
    <col min="6" max="6" width="12.85546875" style="1" bestFit="1" customWidth="1"/>
    <col min="7" max="7" width="11.42578125" style="1"/>
    <col min="8" max="8" width="10.42578125" style="1" bestFit="1" customWidth="1"/>
    <col min="9" max="10" width="12" style="1" customWidth="1"/>
    <col min="11" max="11" width="10.42578125" style="1" bestFit="1" customWidth="1"/>
    <col min="12" max="12" width="3" style="140" bestFit="1" customWidth="1"/>
    <col min="13" max="13" width="7" style="140" bestFit="1" customWidth="1"/>
    <col min="14" max="14" width="15.140625" style="140" bestFit="1" customWidth="1"/>
    <col min="15" max="15" width="9.5703125" style="140" bestFit="1" customWidth="1"/>
    <col min="16" max="16" width="13" style="140" bestFit="1" customWidth="1"/>
    <col min="17" max="17" width="11.5703125" style="140" bestFit="1" customWidth="1"/>
    <col min="18" max="18" width="9.85546875" style="140" bestFit="1" customWidth="1"/>
    <col min="19" max="19" width="13.7109375" style="140" bestFit="1" customWidth="1"/>
    <col min="20" max="20" width="10.42578125" style="140" bestFit="1" customWidth="1"/>
    <col min="21" max="21" width="12.140625" style="140" bestFit="1" customWidth="1"/>
    <col min="22" max="22" width="8.85546875" style="140" bestFit="1" customWidth="1"/>
    <col min="23" max="23" width="12" style="140" bestFit="1" customWidth="1"/>
    <col min="24" max="24" width="8.5703125" style="140" bestFit="1" customWidth="1"/>
    <col min="25" max="25" width="9.85546875" style="140" bestFit="1" customWidth="1"/>
    <col min="26" max="27" width="9.5703125" style="140" customWidth="1"/>
    <col min="28" max="16384" width="11.42578125" style="1"/>
  </cols>
  <sheetData>
    <row r="1" spans="2:32" x14ac:dyDescent="0.2">
      <c r="N1" s="140" t="s">
        <v>183</v>
      </c>
      <c r="O1" s="140">
        <f>+VLOOKUP(YEAR(naci),marco,9,FALSE)</f>
        <v>0</v>
      </c>
      <c r="P1" s="140" t="s">
        <v>177</v>
      </c>
      <c r="Q1" s="140">
        <f>IF(Rentado,C44,+VLOOKUP(YEAR(naci),marco,7,FALSE))</f>
        <v>0</v>
      </c>
    </row>
    <row r="2" spans="2:32" x14ac:dyDescent="0.2">
      <c r="N2" s="140" t="s">
        <v>154</v>
      </c>
      <c r="O2" s="140">
        <f>MONTH(naci)-1</f>
        <v>0</v>
      </c>
      <c r="Q2" s="142"/>
      <c r="S2" s="140">
        <f>MOD(Meses_Renta-K10,12)</f>
        <v>7</v>
      </c>
    </row>
    <row r="3" spans="2:32" x14ac:dyDescent="0.2">
      <c r="N3" s="140" t="s">
        <v>152</v>
      </c>
      <c r="O3" s="140">
        <f>exento</f>
        <v>21505</v>
      </c>
      <c r="Q3" s="142">
        <f>Q1+D16</f>
        <v>37764.019726027393</v>
      </c>
      <c r="T3" s="140">
        <f>5+7</f>
        <v>12</v>
      </c>
      <c r="U3" s="140">
        <f>7*12</f>
        <v>84</v>
      </c>
    </row>
    <row r="4" spans="2:32" x14ac:dyDescent="0.2">
      <c r="N4" s="140" t="s">
        <v>151</v>
      </c>
      <c r="O4" s="141">
        <f>interés_renta</f>
        <v>0</v>
      </c>
      <c r="AB4" s="1">
        <f>1967+63</f>
        <v>2030</v>
      </c>
    </row>
    <row r="5" spans="2:32" x14ac:dyDescent="0.2">
      <c r="N5" s="140" t="s">
        <v>150</v>
      </c>
      <c r="O5" s="143">
        <f>PMT(interés_renta/12,Meses_Renta,-S5)</f>
        <v>393.37520547945201</v>
      </c>
      <c r="P5" s="140">
        <f>IF(C7="C",YEAR(cálculo)+8,YEAR(K38))</f>
        <v>2027</v>
      </c>
      <c r="Q5" s="142"/>
      <c r="S5" s="142">
        <f>Q1+D16</f>
        <v>37764.019726027393</v>
      </c>
    </row>
    <row r="6" spans="2:32" x14ac:dyDescent="0.2">
      <c r="K6" s="1">
        <f>8*12</f>
        <v>96</v>
      </c>
      <c r="N6" s="140" t="s">
        <v>148</v>
      </c>
      <c r="O6" s="140">
        <f>+IF(colectivo="C",96,IF(Rentado,96,DATEDIF(cálculo,DATE(YEAR(naci)+O1,MONTH(naci),DAY(naci)),"m"))+0)</f>
        <v>96</v>
      </c>
      <c r="T6" s="142">
        <f>S5-R25</f>
        <v>0</v>
      </c>
      <c r="W6" s="140">
        <f>R17/4</f>
        <v>1180.125616438356</v>
      </c>
    </row>
    <row r="7" spans="2:32" x14ac:dyDescent="0.2">
      <c r="B7" s="7" t="s">
        <v>22</v>
      </c>
      <c r="C7" s="31" t="str">
        <f>+'ERE 2019'!$F$12</f>
        <v>C</v>
      </c>
      <c r="N7" s="140" t="s">
        <v>153</v>
      </c>
      <c r="O7" s="140">
        <f>12-MONTH(cálculo)+1</f>
        <v>5</v>
      </c>
      <c r="R7" s="140">
        <f>R10/Renta_Mensual</f>
        <v>5</v>
      </c>
      <c r="S7" s="140">
        <f>R10/Renta_Mensual</f>
        <v>5</v>
      </c>
    </row>
    <row r="9" spans="2:32" x14ac:dyDescent="0.2">
      <c r="B9" s="1" t="s">
        <v>45</v>
      </c>
      <c r="D9" s="3">
        <f>+'ERE 2019'!$I$12-'ERE 2019'!$J$12</f>
        <v>1000</v>
      </c>
      <c r="G9" s="1" t="s">
        <v>50</v>
      </c>
      <c r="H9" s="2">
        <f>+cálculo</f>
        <v>43678</v>
      </c>
      <c r="I9" s="3">
        <f>Ingresos_acumulados + (MONTH(cálculo)-Mes_Nómina-1)  * NÓMINA  + IF(AND(MONTH(cálculo)&gt;2,Mes_Nómina=1),bonus,0)  +  IF(AND(MONTH(cálculo)&gt;8,Mes_Nómina&lt;9),ayuda,0)</f>
        <v>4000</v>
      </c>
      <c r="J9" s="3"/>
      <c r="N9" s="140" t="s">
        <v>147</v>
      </c>
      <c r="O9" s="140" t="s">
        <v>142</v>
      </c>
      <c r="P9" s="140" t="s">
        <v>149</v>
      </c>
      <c r="Q9" s="140" t="s">
        <v>203</v>
      </c>
      <c r="R9" s="140" t="s">
        <v>143</v>
      </c>
      <c r="S9" s="140" t="s">
        <v>157</v>
      </c>
      <c r="T9" s="140" t="s">
        <v>144</v>
      </c>
      <c r="U9" s="140" t="s">
        <v>145</v>
      </c>
      <c r="V9" s="140" t="s">
        <v>156</v>
      </c>
      <c r="W9" s="140" t="s">
        <v>149</v>
      </c>
      <c r="X9" s="140" t="s">
        <v>146</v>
      </c>
      <c r="Y9" s="140" t="s">
        <v>155</v>
      </c>
      <c r="AA9" s="173" t="s">
        <v>147</v>
      </c>
      <c r="AB9" s="173" t="s">
        <v>186</v>
      </c>
      <c r="AC9" s="174" t="s">
        <v>185</v>
      </c>
      <c r="AD9" s="173" t="s">
        <v>184</v>
      </c>
      <c r="AE9" s="173" t="s">
        <v>187</v>
      </c>
    </row>
    <row r="10" spans="2:32" x14ac:dyDescent="0.2">
      <c r="B10" s="1" t="s">
        <v>46</v>
      </c>
      <c r="D10" s="15">
        <f>+ROUND(IF(D9&gt;baseMax,baseMax,D9)*cuota,2)</f>
        <v>63.5</v>
      </c>
      <c r="G10" s="1" t="s">
        <v>159</v>
      </c>
      <c r="I10" s="3">
        <f>Cuota_Acumulada/Mes_Nómina*MONTH(cálculo)</f>
        <v>0</v>
      </c>
      <c r="J10" s="3">
        <f t="shared" ref="J10:J24" si="0">IF(colectivo="C",12-Meses_Primer_año,0)</f>
        <v>7</v>
      </c>
      <c r="K10" s="1">
        <f>Meses_Primer_año</f>
        <v>5</v>
      </c>
      <c r="L10" s="140">
        <v>1</v>
      </c>
      <c r="M10" s="140">
        <f>Meses_Renta-Meses_Primer_año</f>
        <v>91</v>
      </c>
      <c r="N10" s="140">
        <f>YEAR(cálculo)</f>
        <v>2019</v>
      </c>
      <c r="O10" s="140">
        <f>H17</f>
        <v>5490.45</v>
      </c>
      <c r="P10" s="141">
        <f>Q10/O10</f>
        <v>4.280159185494814E-2</v>
      </c>
      <c r="Q10" s="140">
        <f>I17</f>
        <v>235</v>
      </c>
      <c r="R10" s="142">
        <f t="shared" ref="R10:R24" si="1">Renta_Mensual*K10</f>
        <v>1966.87602739726</v>
      </c>
      <c r="S10" s="142">
        <v>0</v>
      </c>
      <c r="T10" s="142">
        <f>exento-R10</f>
        <v>19538.123972602742</v>
      </c>
      <c r="U10" s="142">
        <f t="shared" ref="U10:U24" si="2">IF(T10&gt;0,0,(R10-S10)*REDUCTOR)</f>
        <v>0</v>
      </c>
      <c r="V10" s="142">
        <f>R10-U10-S10</f>
        <v>1966.87602739726</v>
      </c>
      <c r="W10" s="141">
        <f>X10/R10</f>
        <v>0</v>
      </c>
      <c r="X10" s="142">
        <f t="shared" ref="X10:X24" si="3">IF(T10&gt;0,0,calculaRet(V10,0,TRUE,porEntero,totalHijos))</f>
        <v>0</v>
      </c>
      <c r="Y10" s="142">
        <f t="shared" ref="Y10:Y24" si="4">R10+O10-Q10-X10</f>
        <v>7222.3260273972601</v>
      </c>
      <c r="Z10" s="142">
        <f>R10-X10</f>
        <v>1966.87602739726</v>
      </c>
      <c r="AA10" s="175">
        <f>N10</f>
        <v>2019</v>
      </c>
      <c r="AB10" s="176">
        <f>O10-Q10</f>
        <v>5255.45</v>
      </c>
      <c r="AC10" s="176">
        <f>R10-X10</f>
        <v>1966.87602739726</v>
      </c>
      <c r="AD10" s="176">
        <f>AB10+AC10</f>
        <v>7222.3260273972601</v>
      </c>
      <c r="AE10" s="176">
        <f>AD10/Meses_Primer_año</f>
        <v>1444.4652054794519</v>
      </c>
    </row>
    <row r="11" spans="2:32" x14ac:dyDescent="0.2">
      <c r="B11" s="11" t="s">
        <v>47</v>
      </c>
      <c r="C11" s="11"/>
      <c r="D11" s="25">
        <f>+ROUND(irpf*D9,2)</f>
        <v>0</v>
      </c>
      <c r="E11" s="1">
        <f>D11*9</f>
        <v>0</v>
      </c>
      <c r="I11" s="3"/>
      <c r="J11" s="3">
        <f t="shared" si="0"/>
        <v>7</v>
      </c>
      <c r="K11" s="1">
        <f t="shared" ref="K11:K24" si="5">IF(añofinrenta=N11,IF(colectivo="C",J11,MONTH(naci)),IF(añofinrenta&lt;N11,0,12))</f>
        <v>12</v>
      </c>
      <c r="L11" s="140">
        <v>2</v>
      </c>
      <c r="M11" s="140">
        <f>M10</f>
        <v>91</v>
      </c>
      <c r="N11" s="140">
        <f>N10+1</f>
        <v>2020</v>
      </c>
      <c r="O11" s="140">
        <f>H18</f>
        <v>13177.079999999996</v>
      </c>
      <c r="P11" s="141">
        <f>Q11/O11</f>
        <v>4.2801591854948147E-2</v>
      </c>
      <c r="Q11" s="140">
        <f>I18</f>
        <v>564</v>
      </c>
      <c r="R11" s="142">
        <f t="shared" si="1"/>
        <v>4720.5024657534241</v>
      </c>
      <c r="S11" s="142">
        <f>IF(AND(T10&lt;R11,T10&gt;0),T10,0)</f>
        <v>0</v>
      </c>
      <c r="T11" s="142">
        <f>T10-R11</f>
        <v>14817.621506849318</v>
      </c>
      <c r="U11" s="142">
        <f t="shared" si="2"/>
        <v>0</v>
      </c>
      <c r="V11" s="142">
        <f t="shared" ref="V11:V13" si="6">R11-U11-S11</f>
        <v>4720.5024657534241</v>
      </c>
      <c r="W11" s="141">
        <f>IF(X11&gt;0,X11/R11,0)</f>
        <v>0</v>
      </c>
      <c r="X11" s="142">
        <f t="shared" si="3"/>
        <v>0</v>
      </c>
      <c r="Y11" s="142">
        <f t="shared" si="4"/>
        <v>17333.582465753421</v>
      </c>
      <c r="Z11" s="142">
        <f t="shared" ref="Z11:Z24" si="7">R11-X11</f>
        <v>4720.5024657534241</v>
      </c>
      <c r="AA11" s="175">
        <f t="shared" ref="AA11:AA24" si="8">N11</f>
        <v>2020</v>
      </c>
      <c r="AB11" s="176">
        <f t="shared" ref="AB11:AB25" si="9">O11-Q11</f>
        <v>12613.079999999996</v>
      </c>
      <c r="AC11" s="176">
        <f t="shared" ref="AC11:AC25" si="10">R11-X11</f>
        <v>4720.5024657534241</v>
      </c>
      <c r="AD11" s="176">
        <f t="shared" ref="AD11:AD25" si="11">AB11+AC11</f>
        <v>17333.582465753421</v>
      </c>
      <c r="AE11" s="176">
        <f t="shared" ref="AE11:AE24" si="12">AD11/IF(AD12=0,12-Meses_Primer_año,12)</f>
        <v>1444.4652054794517</v>
      </c>
      <c r="AF11" s="1" t="e">
        <f>resi</f>
        <v>#NAME?</v>
      </c>
    </row>
    <row r="12" spans="2:32" x14ac:dyDescent="0.2">
      <c r="B12" s="1" t="s">
        <v>48</v>
      </c>
      <c r="D12" s="3">
        <f>+D9-D10-D11</f>
        <v>936.5</v>
      </c>
      <c r="G12" s="332" t="s">
        <v>36</v>
      </c>
      <c r="H12" s="332"/>
      <c r="I12" s="332"/>
      <c r="J12" s="3">
        <f t="shared" si="0"/>
        <v>7</v>
      </c>
      <c r="K12" s="1">
        <f t="shared" si="5"/>
        <v>12</v>
      </c>
      <c r="L12" s="140">
        <v>3</v>
      </c>
      <c r="M12" s="140">
        <f t="shared" ref="M12:M24" si="13">IF(M11&lt;=Mes_Cumple,0,M11-12)</f>
        <v>79</v>
      </c>
      <c r="N12" s="140">
        <f t="shared" ref="N12:N24" si="14">N11+1</f>
        <v>2021</v>
      </c>
      <c r="O12" s="140">
        <f>H19</f>
        <v>7686.6299999999983</v>
      </c>
      <c r="P12" s="141">
        <f>Q12/O12</f>
        <v>4.2801591854948147E-2</v>
      </c>
      <c r="Q12" s="140">
        <f>I19</f>
        <v>329</v>
      </c>
      <c r="R12" s="142">
        <f t="shared" si="1"/>
        <v>4720.5024657534241</v>
      </c>
      <c r="S12" s="142">
        <f t="shared" ref="S12:S24" si="15">IF(AND(T11&lt;R12,T11&gt;0),T11,0)</f>
        <v>0</v>
      </c>
      <c r="T12" s="142">
        <f>T11-R12</f>
        <v>10097.119041095895</v>
      </c>
      <c r="U12" s="142">
        <f t="shared" si="2"/>
        <v>0</v>
      </c>
      <c r="V12" s="142">
        <f t="shared" si="6"/>
        <v>4720.5024657534241</v>
      </c>
      <c r="W12" s="141">
        <f t="shared" ref="W12:W21" si="16">IF(X12&gt;0,X12/R12,0)</f>
        <v>0</v>
      </c>
      <c r="X12" s="142">
        <f t="shared" si="3"/>
        <v>0</v>
      </c>
      <c r="Y12" s="142">
        <f t="shared" si="4"/>
        <v>12078.132465753422</v>
      </c>
      <c r="Z12" s="142">
        <f t="shared" si="7"/>
        <v>4720.5024657534241</v>
      </c>
      <c r="AA12" s="175">
        <f t="shared" si="8"/>
        <v>2021</v>
      </c>
      <c r="AB12" s="176">
        <f t="shared" si="9"/>
        <v>7357.6299999999983</v>
      </c>
      <c r="AC12" s="176">
        <f t="shared" si="10"/>
        <v>4720.5024657534241</v>
      </c>
      <c r="AD12" s="176">
        <f t="shared" si="11"/>
        <v>12078.132465753422</v>
      </c>
      <c r="AE12" s="176">
        <f t="shared" si="12"/>
        <v>1006.5110388127852</v>
      </c>
    </row>
    <row r="13" spans="2:32" x14ac:dyDescent="0.2">
      <c r="E13" s="3"/>
      <c r="G13" s="32" t="s">
        <v>141</v>
      </c>
      <c r="I13" s="1">
        <f>IF(totalHijos&gt;2,2,totalHijos)</f>
        <v>0</v>
      </c>
      <c r="J13" s="3">
        <f t="shared" si="0"/>
        <v>7</v>
      </c>
      <c r="K13" s="1">
        <f t="shared" si="5"/>
        <v>12</v>
      </c>
      <c r="L13" s="140">
        <v>4</v>
      </c>
      <c r="M13" s="140">
        <f t="shared" si="13"/>
        <v>67</v>
      </c>
      <c r="N13" s="140">
        <f t="shared" si="14"/>
        <v>2022</v>
      </c>
      <c r="O13" s="145"/>
      <c r="P13" s="146"/>
      <c r="Q13" s="145"/>
      <c r="R13" s="142">
        <f t="shared" si="1"/>
        <v>4720.5024657534241</v>
      </c>
      <c r="S13" s="142">
        <f t="shared" si="15"/>
        <v>0</v>
      </c>
      <c r="T13" s="142">
        <f t="shared" ref="T13:T24" si="17">T12-R13</f>
        <v>5376.6165753424712</v>
      </c>
      <c r="U13" s="142">
        <f t="shared" si="2"/>
        <v>0</v>
      </c>
      <c r="V13" s="142">
        <f t="shared" si="6"/>
        <v>4720.5024657534241</v>
      </c>
      <c r="W13" s="141">
        <f t="shared" si="16"/>
        <v>0</v>
      </c>
      <c r="X13" s="142">
        <f t="shared" si="3"/>
        <v>0</v>
      </c>
      <c r="Y13" s="142">
        <f t="shared" si="4"/>
        <v>4720.5024657534241</v>
      </c>
      <c r="Z13" s="142">
        <f t="shared" si="7"/>
        <v>4720.5024657534241</v>
      </c>
      <c r="AA13" s="175">
        <f t="shared" si="8"/>
        <v>2022</v>
      </c>
      <c r="AB13" s="176">
        <f t="shared" si="9"/>
        <v>0</v>
      </c>
      <c r="AC13" s="176">
        <f t="shared" si="10"/>
        <v>4720.5024657534241</v>
      </c>
      <c r="AD13" s="176">
        <f t="shared" si="11"/>
        <v>4720.5024657534241</v>
      </c>
      <c r="AE13" s="176">
        <f t="shared" si="12"/>
        <v>393.37520547945201</v>
      </c>
    </row>
    <row r="14" spans="2:32" x14ac:dyDescent="0.2">
      <c r="B14" s="1" t="s">
        <v>32</v>
      </c>
      <c r="D14" s="4">
        <f>IF(C7="C",C43,IF(C7="B",G41,K41))</f>
        <v>37764.019726027393</v>
      </c>
      <c r="E14" s="3"/>
      <c r="J14" s="3">
        <f t="shared" si="0"/>
        <v>7</v>
      </c>
      <c r="K14" s="1">
        <f t="shared" si="5"/>
        <v>12</v>
      </c>
      <c r="L14" s="140">
        <v>5</v>
      </c>
      <c r="M14" s="140">
        <f t="shared" si="13"/>
        <v>55</v>
      </c>
      <c r="N14" s="140">
        <f t="shared" si="14"/>
        <v>2023</v>
      </c>
      <c r="O14" s="145"/>
      <c r="P14" s="146"/>
      <c r="Q14" s="145"/>
      <c r="R14" s="142">
        <f t="shared" si="1"/>
        <v>4720.5024657534241</v>
      </c>
      <c r="S14" s="142">
        <f t="shared" si="15"/>
        <v>0</v>
      </c>
      <c r="T14" s="142">
        <f t="shared" si="17"/>
        <v>656.11410958904708</v>
      </c>
      <c r="U14" s="142">
        <f t="shared" si="2"/>
        <v>0</v>
      </c>
      <c r="V14" s="142">
        <f>R14-U14-S14</f>
        <v>4720.5024657534241</v>
      </c>
      <c r="W14" s="141">
        <f t="shared" si="16"/>
        <v>0</v>
      </c>
      <c r="X14" s="142">
        <f t="shared" si="3"/>
        <v>0</v>
      </c>
      <c r="Y14" s="142">
        <f t="shared" si="4"/>
        <v>4720.5024657534241</v>
      </c>
      <c r="Z14" s="142">
        <f t="shared" si="7"/>
        <v>4720.5024657534241</v>
      </c>
      <c r="AA14" s="175">
        <f t="shared" si="8"/>
        <v>2023</v>
      </c>
      <c r="AB14" s="176">
        <f t="shared" si="9"/>
        <v>0</v>
      </c>
      <c r="AC14" s="176">
        <f t="shared" si="10"/>
        <v>4720.5024657534241</v>
      </c>
      <c r="AD14" s="176">
        <f t="shared" si="11"/>
        <v>4720.5024657534241</v>
      </c>
      <c r="AE14" s="176">
        <f t="shared" si="12"/>
        <v>393.37520547945201</v>
      </c>
    </row>
    <row r="15" spans="2:32" x14ac:dyDescent="0.2">
      <c r="D15" s="4"/>
      <c r="G15" s="16" t="s">
        <v>55</v>
      </c>
      <c r="H15" s="21"/>
      <c r="I15" s="28">
        <f>+VLOOKUP(I13,desempleo,2,FALSE)*24</f>
        <v>26354.159999999996</v>
      </c>
      <c r="J15" s="3">
        <f t="shared" si="0"/>
        <v>7</v>
      </c>
      <c r="K15" s="1">
        <f t="shared" si="5"/>
        <v>12</v>
      </c>
      <c r="L15" s="140">
        <v>6</v>
      </c>
      <c r="M15" s="140">
        <f t="shared" si="13"/>
        <v>43</v>
      </c>
      <c r="N15" s="140">
        <f t="shared" si="14"/>
        <v>2024</v>
      </c>
      <c r="O15" s="145"/>
      <c r="P15" s="146"/>
      <c r="Q15" s="145"/>
      <c r="R15" s="142">
        <f t="shared" si="1"/>
        <v>4720.5024657534241</v>
      </c>
      <c r="S15" s="142">
        <f t="shared" si="15"/>
        <v>656.11410958904708</v>
      </c>
      <c r="T15" s="142">
        <f t="shared" si="17"/>
        <v>-4064.388356164377</v>
      </c>
      <c r="U15" s="142">
        <f t="shared" si="2"/>
        <v>0</v>
      </c>
      <c r="V15" s="142">
        <f>R15-U15-S15</f>
        <v>4064.388356164377</v>
      </c>
      <c r="W15" s="141">
        <f t="shared" si="16"/>
        <v>0</v>
      </c>
      <c r="X15" s="142">
        <f t="shared" si="3"/>
        <v>0</v>
      </c>
      <c r="Y15" s="142">
        <f t="shared" si="4"/>
        <v>4720.5024657534241</v>
      </c>
      <c r="Z15" s="142">
        <f t="shared" si="7"/>
        <v>4720.5024657534241</v>
      </c>
      <c r="AA15" s="175">
        <f t="shared" si="8"/>
        <v>2024</v>
      </c>
      <c r="AB15" s="176">
        <f t="shared" si="9"/>
        <v>0</v>
      </c>
      <c r="AC15" s="176">
        <f t="shared" si="10"/>
        <v>4720.5024657534241</v>
      </c>
      <c r="AD15" s="176">
        <f t="shared" si="11"/>
        <v>4720.5024657534241</v>
      </c>
      <c r="AE15" s="176">
        <f t="shared" si="12"/>
        <v>393.37520547945201</v>
      </c>
    </row>
    <row r="16" spans="2:32" x14ac:dyDescent="0.2">
      <c r="B16" s="18" t="s">
        <v>49</v>
      </c>
      <c r="C16" s="22"/>
      <c r="D16" s="23">
        <f>D14+D15</f>
        <v>37764.019726027393</v>
      </c>
      <c r="G16" s="1" t="s">
        <v>112</v>
      </c>
      <c r="H16" s="1" t="s">
        <v>137</v>
      </c>
      <c r="I16" s="1" t="s">
        <v>202</v>
      </c>
      <c r="J16" s="3">
        <f t="shared" si="0"/>
        <v>7</v>
      </c>
      <c r="K16" s="1">
        <f t="shared" si="5"/>
        <v>12</v>
      </c>
      <c r="L16" s="140">
        <v>7</v>
      </c>
      <c r="M16" s="140">
        <f t="shared" si="13"/>
        <v>31</v>
      </c>
      <c r="N16" s="140">
        <f t="shared" si="14"/>
        <v>2025</v>
      </c>
      <c r="O16" s="145"/>
      <c r="P16" s="146"/>
      <c r="Q16" s="145"/>
      <c r="R16" s="142">
        <f t="shared" si="1"/>
        <v>4720.5024657534241</v>
      </c>
      <c r="S16" s="142">
        <f t="shared" si="15"/>
        <v>0</v>
      </c>
      <c r="T16" s="142">
        <f t="shared" si="17"/>
        <v>-8784.8908219178011</v>
      </c>
      <c r="U16" s="142">
        <f t="shared" si="2"/>
        <v>0</v>
      </c>
      <c r="V16" s="142">
        <f t="shared" ref="V16:V24" si="18">R16-U16-S16</f>
        <v>4720.5024657534241</v>
      </c>
      <c r="W16" s="141">
        <f t="shared" si="16"/>
        <v>0</v>
      </c>
      <c r="X16" s="142">
        <f t="shared" si="3"/>
        <v>0</v>
      </c>
      <c r="Y16" s="142">
        <f t="shared" si="4"/>
        <v>4720.5024657534241</v>
      </c>
      <c r="Z16" s="142">
        <f t="shared" si="7"/>
        <v>4720.5024657534241</v>
      </c>
      <c r="AA16" s="175">
        <f t="shared" si="8"/>
        <v>2025</v>
      </c>
      <c r="AB16" s="176">
        <f t="shared" si="9"/>
        <v>0</v>
      </c>
      <c r="AC16" s="176">
        <f t="shared" si="10"/>
        <v>4720.5024657534241</v>
      </c>
      <c r="AD16" s="176">
        <f t="shared" si="11"/>
        <v>4720.5024657534241</v>
      </c>
      <c r="AE16" s="176">
        <f t="shared" si="12"/>
        <v>393.37520547945201</v>
      </c>
    </row>
    <row r="17" spans="2:31" x14ac:dyDescent="0.2">
      <c r="E17" s="296">
        <f>+ROUND(IF(D9&gt;baseMax,baseMax,D9)*cuotatrabajador,2)*G17</f>
        <v>235</v>
      </c>
      <c r="F17" s="132" t="s">
        <v>134</v>
      </c>
      <c r="G17" s="131">
        <f>12-MONTH(H9)+1</f>
        <v>5</v>
      </c>
      <c r="H17" s="1">
        <f>+$I$15*G17/24</f>
        <v>5490.45</v>
      </c>
      <c r="I17" s="19">
        <f>+calculaRet($H$17,E17,TRUE,porEntero,totalHijos)+E17</f>
        <v>235</v>
      </c>
      <c r="J17" s="3">
        <f t="shared" si="0"/>
        <v>7</v>
      </c>
      <c r="K17" s="1">
        <f t="shared" si="5"/>
        <v>12</v>
      </c>
      <c r="L17" s="140">
        <v>8</v>
      </c>
      <c r="M17" s="140">
        <f t="shared" si="13"/>
        <v>19</v>
      </c>
      <c r="N17" s="140">
        <f t="shared" si="14"/>
        <v>2026</v>
      </c>
      <c r="O17" s="145"/>
      <c r="P17" s="146"/>
      <c r="Q17" s="145"/>
      <c r="R17" s="142">
        <f t="shared" si="1"/>
        <v>4720.5024657534241</v>
      </c>
      <c r="S17" s="142">
        <f t="shared" si="15"/>
        <v>0</v>
      </c>
      <c r="T17" s="142">
        <f t="shared" si="17"/>
        <v>-13505.393287671224</v>
      </c>
      <c r="U17" s="142">
        <f t="shared" si="2"/>
        <v>0</v>
      </c>
      <c r="V17" s="142">
        <f t="shared" si="18"/>
        <v>4720.5024657534241</v>
      </c>
      <c r="W17" s="141">
        <f t="shared" si="16"/>
        <v>0</v>
      </c>
      <c r="X17" s="142">
        <f t="shared" si="3"/>
        <v>0</v>
      </c>
      <c r="Y17" s="142">
        <f t="shared" si="4"/>
        <v>4720.5024657534241</v>
      </c>
      <c r="Z17" s="142">
        <f t="shared" si="7"/>
        <v>4720.5024657534241</v>
      </c>
      <c r="AA17" s="175">
        <f t="shared" si="8"/>
        <v>2026</v>
      </c>
      <c r="AB17" s="176">
        <f t="shared" si="9"/>
        <v>0</v>
      </c>
      <c r="AC17" s="176">
        <f t="shared" si="10"/>
        <v>4720.5024657534241</v>
      </c>
      <c r="AD17" s="176">
        <f t="shared" si="11"/>
        <v>4720.5024657534241</v>
      </c>
      <c r="AE17" s="176">
        <f t="shared" si="12"/>
        <v>393.37520547945201</v>
      </c>
    </row>
    <row r="18" spans="2:31" x14ac:dyDescent="0.2">
      <c r="B18" s="1" t="s">
        <v>51</v>
      </c>
      <c r="D18" s="25">
        <f>-exento</f>
        <v>-21505</v>
      </c>
      <c r="E18" s="296">
        <f>+ROUND(IF(D9&gt;baseMax,baseMax,D9)*cuotatrabajador,2)*G18</f>
        <v>564</v>
      </c>
      <c r="F18" s="132" t="s">
        <v>135</v>
      </c>
      <c r="G18" s="1">
        <v>12</v>
      </c>
      <c r="H18" s="1">
        <f>+$I$15*G18/24</f>
        <v>13177.079999999996</v>
      </c>
      <c r="I18" s="19">
        <f>+calculaRet($H$17,E18,TRUE,porEntero,totalHijos)+E18</f>
        <v>564</v>
      </c>
      <c r="J18" s="3">
        <f t="shared" si="0"/>
        <v>7</v>
      </c>
      <c r="K18" s="1">
        <f t="shared" si="5"/>
        <v>7</v>
      </c>
      <c r="L18" s="140">
        <v>9</v>
      </c>
      <c r="M18" s="140">
        <f t="shared" si="13"/>
        <v>7</v>
      </c>
      <c r="N18" s="140">
        <f t="shared" si="14"/>
        <v>2027</v>
      </c>
      <c r="O18" s="145"/>
      <c r="P18" s="146"/>
      <c r="Q18" s="145"/>
      <c r="R18" s="142">
        <f t="shared" si="1"/>
        <v>2753.6264383561638</v>
      </c>
      <c r="S18" s="142">
        <f t="shared" si="15"/>
        <v>0</v>
      </c>
      <c r="T18" s="142">
        <f t="shared" si="17"/>
        <v>-16259.019726027389</v>
      </c>
      <c r="U18" s="142">
        <f t="shared" si="2"/>
        <v>0</v>
      </c>
      <c r="V18" s="142">
        <f t="shared" si="18"/>
        <v>2753.6264383561638</v>
      </c>
      <c r="W18" s="141">
        <f t="shared" si="16"/>
        <v>0</v>
      </c>
      <c r="X18" s="142">
        <f t="shared" si="3"/>
        <v>0</v>
      </c>
      <c r="Y18" s="142">
        <f t="shared" si="4"/>
        <v>2753.6264383561638</v>
      </c>
      <c r="Z18" s="142">
        <f t="shared" si="7"/>
        <v>2753.6264383561638</v>
      </c>
      <c r="AA18" s="175">
        <f t="shared" si="8"/>
        <v>2027</v>
      </c>
      <c r="AB18" s="176">
        <f t="shared" si="9"/>
        <v>0</v>
      </c>
      <c r="AC18" s="176">
        <f t="shared" si="10"/>
        <v>2753.6264383561638</v>
      </c>
      <c r="AD18" s="176">
        <f t="shared" si="11"/>
        <v>2753.6264383561638</v>
      </c>
      <c r="AE18" s="176">
        <f t="shared" si="12"/>
        <v>393.37520547945195</v>
      </c>
    </row>
    <row r="19" spans="2:31" x14ac:dyDescent="0.2">
      <c r="B19" s="1" t="s">
        <v>195</v>
      </c>
      <c r="D19" s="3">
        <f>MAX(+D16+D18,0)</f>
        <v>16259.019726027393</v>
      </c>
      <c r="E19" s="296">
        <f>+ROUND(IF(D9&gt;baseMax,baseMax,D9)*cuotatrabajador,2)*G19</f>
        <v>329</v>
      </c>
      <c r="F19" s="132" t="s">
        <v>136</v>
      </c>
      <c r="G19" s="1">
        <f>24-G18-G17</f>
        <v>7</v>
      </c>
      <c r="H19" s="1">
        <f>+$I$15*G19/24</f>
        <v>7686.6299999999983</v>
      </c>
      <c r="I19" s="19">
        <f>+calculaRet($H$17,E19,TRUE,porEntero,totalHijos)+E19</f>
        <v>329</v>
      </c>
      <c r="J19" s="3">
        <f t="shared" si="0"/>
        <v>7</v>
      </c>
      <c r="K19" s="1">
        <f t="shared" si="5"/>
        <v>0</v>
      </c>
      <c r="L19" s="140">
        <v>10</v>
      </c>
      <c r="M19" s="140">
        <f t="shared" si="13"/>
        <v>-5</v>
      </c>
      <c r="N19" s="140">
        <f t="shared" si="14"/>
        <v>2028</v>
      </c>
      <c r="O19" s="145"/>
      <c r="P19" s="146"/>
      <c r="Q19" s="145"/>
      <c r="R19" s="142">
        <f t="shared" si="1"/>
        <v>0</v>
      </c>
      <c r="S19" s="142">
        <f t="shared" si="15"/>
        <v>0</v>
      </c>
      <c r="T19" s="142">
        <f t="shared" si="17"/>
        <v>-16259.019726027389</v>
      </c>
      <c r="U19" s="142">
        <f t="shared" si="2"/>
        <v>0</v>
      </c>
      <c r="V19" s="142">
        <f t="shared" si="18"/>
        <v>0</v>
      </c>
      <c r="W19" s="141">
        <f t="shared" si="16"/>
        <v>0</v>
      </c>
      <c r="X19" s="142">
        <f t="shared" si="3"/>
        <v>0</v>
      </c>
      <c r="Y19" s="142">
        <f t="shared" si="4"/>
        <v>0</v>
      </c>
      <c r="Z19" s="142">
        <f t="shared" si="7"/>
        <v>0</v>
      </c>
      <c r="AA19" s="175">
        <f t="shared" si="8"/>
        <v>2028</v>
      </c>
      <c r="AB19" s="176">
        <f t="shared" si="9"/>
        <v>0</v>
      </c>
      <c r="AC19" s="176">
        <f t="shared" si="10"/>
        <v>0</v>
      </c>
      <c r="AD19" s="176">
        <f t="shared" si="11"/>
        <v>0</v>
      </c>
      <c r="AE19" s="176">
        <f t="shared" si="12"/>
        <v>0</v>
      </c>
    </row>
    <row r="20" spans="2:31" x14ac:dyDescent="0.2">
      <c r="B20" s="1" t="s">
        <v>52</v>
      </c>
      <c r="D20" s="25">
        <f>-MIN(D19,300000)*0.3</f>
        <v>-4877.7059178082172</v>
      </c>
      <c r="I20" s="1">
        <f>SUM(I17:I19)</f>
        <v>1128</v>
      </c>
      <c r="J20" s="3">
        <f t="shared" si="0"/>
        <v>7</v>
      </c>
      <c r="K20" s="1">
        <f t="shared" si="5"/>
        <v>0</v>
      </c>
      <c r="L20" s="140">
        <v>11</v>
      </c>
      <c r="M20" s="140">
        <f t="shared" si="13"/>
        <v>0</v>
      </c>
      <c r="N20" s="140">
        <f t="shared" si="14"/>
        <v>2029</v>
      </c>
      <c r="O20" s="145"/>
      <c r="P20" s="146"/>
      <c r="Q20" s="145"/>
      <c r="R20" s="142">
        <f t="shared" si="1"/>
        <v>0</v>
      </c>
      <c r="S20" s="142">
        <f t="shared" si="15"/>
        <v>0</v>
      </c>
      <c r="T20" s="142">
        <f t="shared" si="17"/>
        <v>-16259.019726027389</v>
      </c>
      <c r="U20" s="142">
        <f t="shared" si="2"/>
        <v>0</v>
      </c>
      <c r="V20" s="142">
        <f t="shared" si="18"/>
        <v>0</v>
      </c>
      <c r="W20" s="141">
        <f t="shared" si="16"/>
        <v>0</v>
      </c>
      <c r="X20" s="142">
        <f t="shared" si="3"/>
        <v>0</v>
      </c>
      <c r="Y20" s="142">
        <f t="shared" si="4"/>
        <v>0</v>
      </c>
      <c r="Z20" s="142">
        <f t="shared" si="7"/>
        <v>0</v>
      </c>
      <c r="AA20" s="175">
        <f t="shared" si="8"/>
        <v>2029</v>
      </c>
      <c r="AB20" s="176">
        <f t="shared" si="9"/>
        <v>0</v>
      </c>
      <c r="AC20" s="176">
        <f t="shared" si="10"/>
        <v>0</v>
      </c>
      <c r="AD20" s="176">
        <f t="shared" si="11"/>
        <v>0</v>
      </c>
      <c r="AE20" s="176">
        <f t="shared" si="12"/>
        <v>0</v>
      </c>
    </row>
    <row r="21" spans="2:31" x14ac:dyDescent="0.2">
      <c r="B21" s="1" t="s">
        <v>196</v>
      </c>
      <c r="D21" s="3">
        <f>+D19+D20</f>
        <v>11381.313808219176</v>
      </c>
      <c r="G21" s="17" t="s">
        <v>56</v>
      </c>
      <c r="H21" s="26"/>
      <c r="I21" s="27" t="e">
        <f ca="1">+SUM(H17:H19)-SUM(I17:I19)+D24</f>
        <v>#NAME?</v>
      </c>
      <c r="J21" s="3">
        <f t="shared" si="0"/>
        <v>7</v>
      </c>
      <c r="K21" s="1">
        <f t="shared" si="5"/>
        <v>0</v>
      </c>
      <c r="L21" s="140">
        <v>12</v>
      </c>
      <c r="M21" s="140">
        <f t="shared" si="13"/>
        <v>0</v>
      </c>
      <c r="N21" s="140">
        <f t="shared" si="14"/>
        <v>2030</v>
      </c>
      <c r="O21" s="145"/>
      <c r="P21" s="146"/>
      <c r="Q21" s="145"/>
      <c r="R21" s="142">
        <f t="shared" si="1"/>
        <v>0</v>
      </c>
      <c r="S21" s="142">
        <f t="shared" si="15"/>
        <v>0</v>
      </c>
      <c r="T21" s="142">
        <f t="shared" si="17"/>
        <v>-16259.019726027389</v>
      </c>
      <c r="U21" s="142">
        <f t="shared" si="2"/>
        <v>0</v>
      </c>
      <c r="V21" s="142">
        <f t="shared" si="18"/>
        <v>0</v>
      </c>
      <c r="W21" s="141">
        <f t="shared" si="16"/>
        <v>0</v>
      </c>
      <c r="X21" s="142">
        <f t="shared" si="3"/>
        <v>0</v>
      </c>
      <c r="Y21" s="142">
        <f t="shared" si="4"/>
        <v>0</v>
      </c>
      <c r="Z21" s="142">
        <f t="shared" si="7"/>
        <v>0</v>
      </c>
      <c r="AA21" s="175">
        <f t="shared" si="8"/>
        <v>2030</v>
      </c>
      <c r="AB21" s="176">
        <f t="shared" si="9"/>
        <v>0</v>
      </c>
      <c r="AC21" s="176">
        <f t="shared" si="10"/>
        <v>0</v>
      </c>
      <c r="AD21" s="176">
        <f t="shared" si="11"/>
        <v>0</v>
      </c>
      <c r="AE21" s="176">
        <f t="shared" si="12"/>
        <v>0</v>
      </c>
    </row>
    <row r="22" spans="2:31" x14ac:dyDescent="0.2">
      <c r="B22" s="1" t="s">
        <v>53</v>
      </c>
      <c r="D22" s="3" t="e">
        <f ca="1">calculaRet(ingreso_estimado+D21,D10*MONTH(cálculo),FALSE,porEntero,totalHijos)</f>
        <v>#NAME?</v>
      </c>
      <c r="J22" s="3">
        <f t="shared" si="0"/>
        <v>7</v>
      </c>
      <c r="K22" s="1">
        <f t="shared" si="5"/>
        <v>0</v>
      </c>
      <c r="L22" s="140">
        <v>13</v>
      </c>
      <c r="M22" s="140">
        <f t="shared" si="13"/>
        <v>0</v>
      </c>
      <c r="N22" s="140">
        <f t="shared" si="14"/>
        <v>2031</v>
      </c>
      <c r="O22" s="145"/>
      <c r="P22" s="146"/>
      <c r="Q22" s="145"/>
      <c r="R22" s="142">
        <f t="shared" si="1"/>
        <v>0</v>
      </c>
      <c r="S22" s="142">
        <f t="shared" si="15"/>
        <v>0</v>
      </c>
      <c r="T22" s="142">
        <f t="shared" si="17"/>
        <v>-16259.019726027389</v>
      </c>
      <c r="U22" s="142">
        <f t="shared" si="2"/>
        <v>0</v>
      </c>
      <c r="V22" s="142">
        <f t="shared" si="18"/>
        <v>0</v>
      </c>
      <c r="W22" s="141">
        <f t="shared" ref="W22:W24" si="19">IF(X22&gt;0,X22/R22,0)</f>
        <v>0</v>
      </c>
      <c r="X22" s="142">
        <f t="shared" si="3"/>
        <v>0</v>
      </c>
      <c r="Y22" s="142">
        <f t="shared" si="4"/>
        <v>0</v>
      </c>
      <c r="Z22" s="142">
        <f t="shared" si="7"/>
        <v>0</v>
      </c>
      <c r="AA22" s="172">
        <f t="shared" si="8"/>
        <v>2031</v>
      </c>
      <c r="AB22" s="171">
        <f t="shared" si="9"/>
        <v>0</v>
      </c>
      <c r="AC22" s="171">
        <f t="shared" si="10"/>
        <v>0</v>
      </c>
      <c r="AD22" s="171">
        <f t="shared" si="11"/>
        <v>0</v>
      </c>
      <c r="AE22" s="171">
        <f t="shared" si="12"/>
        <v>0</v>
      </c>
    </row>
    <row r="23" spans="2:31" x14ac:dyDescent="0.2">
      <c r="B23" s="1" t="s">
        <v>197</v>
      </c>
      <c r="D23" s="1" t="e">
        <f ca="1">IF(D22&gt;irpfestimado,D22-irpfestimado,-(irpfestimado-D22))</f>
        <v>#NAME?</v>
      </c>
      <c r="I23" s="15"/>
      <c r="J23" s="3">
        <f t="shared" si="0"/>
        <v>7</v>
      </c>
      <c r="K23" s="1">
        <f t="shared" si="5"/>
        <v>0</v>
      </c>
      <c r="L23" s="140">
        <v>14</v>
      </c>
      <c r="M23" s="140">
        <f t="shared" si="13"/>
        <v>0</v>
      </c>
      <c r="N23" s="140">
        <f t="shared" si="14"/>
        <v>2032</v>
      </c>
      <c r="O23" s="145"/>
      <c r="P23" s="146"/>
      <c r="Q23" s="145"/>
      <c r="R23" s="142">
        <f t="shared" si="1"/>
        <v>0</v>
      </c>
      <c r="S23" s="142">
        <f t="shared" si="15"/>
        <v>0</v>
      </c>
      <c r="T23" s="142">
        <f t="shared" si="17"/>
        <v>-16259.019726027389</v>
      </c>
      <c r="U23" s="142">
        <f t="shared" si="2"/>
        <v>0</v>
      </c>
      <c r="V23" s="142">
        <f t="shared" si="18"/>
        <v>0</v>
      </c>
      <c r="W23" s="141">
        <f t="shared" si="19"/>
        <v>0</v>
      </c>
      <c r="X23" s="142">
        <f t="shared" si="3"/>
        <v>0</v>
      </c>
      <c r="Y23" s="142">
        <f t="shared" si="4"/>
        <v>0</v>
      </c>
      <c r="Z23" s="142">
        <f t="shared" si="7"/>
        <v>0</v>
      </c>
      <c r="AA23" s="172">
        <f t="shared" si="8"/>
        <v>2032</v>
      </c>
      <c r="AB23" s="171">
        <f t="shared" si="9"/>
        <v>0</v>
      </c>
      <c r="AC23" s="171">
        <f t="shared" si="10"/>
        <v>0</v>
      </c>
      <c r="AD23" s="171">
        <f t="shared" si="11"/>
        <v>0</v>
      </c>
      <c r="AE23" s="171">
        <f t="shared" si="12"/>
        <v>0</v>
      </c>
    </row>
    <row r="24" spans="2:31" ht="13.5" thickBot="1" x14ac:dyDescent="0.25">
      <c r="B24" s="17" t="s">
        <v>54</v>
      </c>
      <c r="C24" s="26"/>
      <c r="D24" s="27" t="e">
        <f ca="1">D16-D23</f>
        <v>#NAME?</v>
      </c>
      <c r="J24" s="3">
        <f t="shared" si="0"/>
        <v>7</v>
      </c>
      <c r="K24" s="1">
        <f t="shared" si="5"/>
        <v>0</v>
      </c>
      <c r="L24" s="140">
        <v>15</v>
      </c>
      <c r="M24" s="140">
        <f t="shared" si="13"/>
        <v>0</v>
      </c>
      <c r="N24" s="140">
        <f t="shared" si="14"/>
        <v>2033</v>
      </c>
      <c r="O24" s="145"/>
      <c r="P24" s="146"/>
      <c r="Q24" s="145"/>
      <c r="R24" s="142">
        <f t="shared" si="1"/>
        <v>0</v>
      </c>
      <c r="S24" s="142">
        <f t="shared" si="15"/>
        <v>0</v>
      </c>
      <c r="T24" s="142">
        <f t="shared" si="17"/>
        <v>-16259.019726027389</v>
      </c>
      <c r="U24" s="142">
        <f t="shared" si="2"/>
        <v>0</v>
      </c>
      <c r="V24" s="142">
        <f t="shared" si="18"/>
        <v>0</v>
      </c>
      <c r="W24" s="141">
        <f t="shared" si="19"/>
        <v>0</v>
      </c>
      <c r="X24" s="142">
        <f t="shared" si="3"/>
        <v>0</v>
      </c>
      <c r="Y24" s="142">
        <f t="shared" si="4"/>
        <v>0</v>
      </c>
      <c r="Z24" s="142">
        <f t="shared" si="7"/>
        <v>0</v>
      </c>
      <c r="AA24" s="172">
        <f t="shared" si="8"/>
        <v>2033</v>
      </c>
      <c r="AB24" s="171">
        <f t="shared" si="9"/>
        <v>0</v>
      </c>
      <c r="AC24" s="171">
        <f t="shared" si="10"/>
        <v>0</v>
      </c>
      <c r="AD24" s="171">
        <f t="shared" si="11"/>
        <v>0</v>
      </c>
      <c r="AE24" s="171">
        <f t="shared" si="12"/>
        <v>0</v>
      </c>
    </row>
    <row r="25" spans="2:31" ht="14.25" thickTop="1" thickBot="1" x14ac:dyDescent="0.25">
      <c r="G25" s="32"/>
      <c r="H25" s="32"/>
      <c r="I25" s="33"/>
      <c r="J25" s="33"/>
      <c r="K25" s="1">
        <f>SUM(K10:K24)</f>
        <v>96</v>
      </c>
      <c r="O25" s="147">
        <f>SUM(O10:O24)</f>
        <v>26354.159999999993</v>
      </c>
      <c r="Q25" s="140">
        <f>SUM(Q10:Q24)</f>
        <v>1128</v>
      </c>
      <c r="R25" s="183">
        <f>SUM(R10:R24)</f>
        <v>37764.019726027393</v>
      </c>
      <c r="S25" s="142"/>
      <c r="T25" s="142"/>
      <c r="U25" s="142"/>
      <c r="V25" s="142"/>
      <c r="X25" s="183">
        <f>SUM(X10:X24)</f>
        <v>0</v>
      </c>
      <c r="Y25" s="183">
        <f>SUM(Y10:Y24)</f>
        <v>62990.179726027382</v>
      </c>
      <c r="Z25" s="184">
        <f>SUM(Z10:Z24)</f>
        <v>37764.019726027393</v>
      </c>
      <c r="AA25" s="144"/>
      <c r="AB25" s="1">
        <f t="shared" si="9"/>
        <v>25226.159999999993</v>
      </c>
      <c r="AC25" s="15">
        <f t="shared" si="10"/>
        <v>37764.019726027393</v>
      </c>
      <c r="AD25" s="15">
        <f t="shared" si="11"/>
        <v>62990.179726027389</v>
      </c>
    </row>
    <row r="26" spans="2:31" ht="13.5" thickTop="1" x14ac:dyDescent="0.2">
      <c r="B26" s="20" t="str">
        <f>+IF($C$7="C","Mes y medio por año","")</f>
        <v>Mes y medio por año</v>
      </c>
      <c r="C26" s="20"/>
      <c r="D26" s="34"/>
      <c r="G26" s="29"/>
      <c r="H26" s="29"/>
      <c r="I26" s="30"/>
      <c r="J26" s="30"/>
    </row>
    <row r="27" spans="2:31" x14ac:dyDescent="0.2">
      <c r="B27" s="20" t="str">
        <f>+IF($C$7="C","mensualidades indemn.:","")</f>
        <v>mensualidades indemn.:</v>
      </c>
      <c r="C27" s="20"/>
      <c r="D27" s="34"/>
      <c r="G27" s="148"/>
      <c r="H27" s="149" t="s">
        <v>209</v>
      </c>
      <c r="I27" s="14">
        <f>IF(I31&gt;2,0.3,0)</f>
        <v>0</v>
      </c>
      <c r="Y27" s="140">
        <f>Y25/Meses_Renta</f>
        <v>656.14770547945193</v>
      </c>
    </row>
    <row r="28" spans="2:31" x14ac:dyDescent="0.2">
      <c r="B28" s="20" t="str">
        <f>+IF($C$7="C","mínimo","")</f>
        <v>mínimo</v>
      </c>
      <c r="C28" s="20"/>
      <c r="D28" s="20"/>
      <c r="H28" s="150" t="s">
        <v>205</v>
      </c>
      <c r="I28" s="298">
        <f>DATEDIF(antigüedad,cálculo,"d")</f>
        <v>5691</v>
      </c>
      <c r="J28" s="24"/>
      <c r="O28" s="153" t="s">
        <v>204</v>
      </c>
      <c r="U28" s="140">
        <f>63-15</f>
        <v>48</v>
      </c>
    </row>
    <row r="29" spans="2:31" x14ac:dyDescent="0.2">
      <c r="B29" s="20" t="s">
        <v>191</v>
      </c>
      <c r="C29" s="20" t="b">
        <f>NOT(Mostrar)</f>
        <v>1</v>
      </c>
      <c r="D29" s="20"/>
      <c r="G29" s="1" t="str">
        <f>+IF($C$7="A","MÁS APORTACIONES AL PLAN DE PENSIONES","")</f>
        <v/>
      </c>
      <c r="H29" s="150" t="s">
        <v>206</v>
      </c>
      <c r="I29" s="297">
        <f>I28/365.25</f>
        <v>15.581108829568789</v>
      </c>
      <c r="J29" s="24">
        <f>H38-YEAR(cálculo)+1</f>
        <v>-43</v>
      </c>
      <c r="K29" s="1" t="str">
        <f>IF(C7="A",Meses_Renta*'ERE 2019'!L12,"")</f>
        <v/>
      </c>
    </row>
    <row r="30" spans="2:31" x14ac:dyDescent="0.2">
      <c r="B30" s="1" t="s">
        <v>190</v>
      </c>
      <c r="C30" s="1" t="b">
        <f>IF(YEAR(naci)&lt;=1970,TRUE,FALSE)</f>
        <v>0</v>
      </c>
      <c r="G30" s="1" t="str">
        <f>+IF($C$7="A","PÓLIZA SANITARIA","")</f>
        <v/>
      </c>
      <c r="H30" s="150" t="s">
        <v>207</v>
      </c>
      <c r="I30" s="13">
        <f>IF(colectivo="C",9,J29)</f>
        <v>9</v>
      </c>
    </row>
    <row r="31" spans="2:31" x14ac:dyDescent="0.2">
      <c r="B31" s="1" t="s">
        <v>189</v>
      </c>
      <c r="C31" s="1" t="b">
        <f>AND(YEAR(naci)&lt;=1970,YEAR(naci)&gt;=1968)</f>
        <v>0</v>
      </c>
      <c r="H31" s="152" t="s">
        <v>208</v>
      </c>
      <c r="I31" s="12">
        <f>I29/I30</f>
        <v>1.7312343143965321</v>
      </c>
    </row>
    <row r="33" spans="2:13" x14ac:dyDescent="0.2">
      <c r="B33" s="333" t="s">
        <v>25</v>
      </c>
      <c r="C33" s="333"/>
      <c r="F33" s="333" t="s">
        <v>24</v>
      </c>
      <c r="G33" s="333"/>
      <c r="I33" s="333" t="s">
        <v>23</v>
      </c>
      <c r="J33" s="333"/>
      <c r="K33" s="333"/>
    </row>
    <row r="34" spans="2:13" x14ac:dyDescent="0.2">
      <c r="B34" s="333"/>
      <c r="C34" s="333"/>
      <c r="F34" s="333"/>
      <c r="G34" s="333"/>
      <c r="I34" s="333"/>
      <c r="J34" s="333"/>
      <c r="K34" s="333"/>
    </row>
    <row r="35" spans="2:13" x14ac:dyDescent="0.2">
      <c r="B35" s="149" t="s">
        <v>160</v>
      </c>
      <c r="C35" s="14">
        <f>+VLOOKUP(YEAR(naci),marco,14,FALSE)</f>
        <v>45</v>
      </c>
      <c r="F35" s="149" t="s">
        <v>170</v>
      </c>
      <c r="G35" s="14">
        <f>+VLOOKUP(YEAR(naci),marco,5,FALSE)</f>
        <v>0</v>
      </c>
      <c r="I35" s="149"/>
      <c r="J35" s="281"/>
      <c r="K35" s="14"/>
    </row>
    <row r="36" spans="2:13" x14ac:dyDescent="0.2">
      <c r="B36" s="150" t="s">
        <v>163</v>
      </c>
      <c r="C36" s="13">
        <f>DATEDIF(antigüedad,cálculo,"d")</f>
        <v>5691</v>
      </c>
      <c r="F36" s="150" t="s">
        <v>171</v>
      </c>
      <c r="G36" s="13">
        <f>+VLOOKUP(YEAR(naci),marco,2,FALSE)</f>
        <v>0</v>
      </c>
      <c r="I36" s="150" t="s">
        <v>178</v>
      </c>
      <c r="J36" s="282"/>
      <c r="K36" s="13">
        <f>+VLOOKUP(YEAR(naci),marco,2,FALSE)</f>
        <v>0</v>
      </c>
    </row>
    <row r="37" spans="2:13" x14ac:dyDescent="0.2">
      <c r="B37" s="150" t="s">
        <v>113</v>
      </c>
      <c r="C37" s="13">
        <f>C36/365</f>
        <v>15.591780821917808</v>
      </c>
      <c r="F37" s="150" t="s">
        <v>172</v>
      </c>
      <c r="G37" s="13">
        <f>+VLOOKUP(YEAR(naci),marco,4,FALSE)</f>
        <v>0</v>
      </c>
      <c r="I37" s="150" t="s">
        <v>172</v>
      </c>
      <c r="J37" s="282"/>
      <c r="K37" s="13">
        <f>+VLOOKUP(YEAR(naci),marco,4,FALSE)</f>
        <v>0</v>
      </c>
    </row>
    <row r="38" spans="2:13" x14ac:dyDescent="0.2">
      <c r="B38" s="150" t="s">
        <v>164</v>
      </c>
      <c r="C38" s="13">
        <f>+VLOOKUP(YEAR(naci),marco,12,FALSE)</f>
        <v>1080</v>
      </c>
      <c r="D38" s="153">
        <f>C38*C40</f>
        <v>37764.019726027393</v>
      </c>
      <c r="F38" s="150" t="s">
        <v>173</v>
      </c>
      <c r="G38" s="151">
        <f>DATE((YEAR(naci)+G37),MONTH(naci),DAY(naci))</f>
        <v>27395</v>
      </c>
      <c r="H38" s="140">
        <f>YEAR(G38)</f>
        <v>1975</v>
      </c>
      <c r="I38" s="150" t="s">
        <v>179</v>
      </c>
      <c r="J38" s="282"/>
      <c r="K38" s="151">
        <f>DATE((YEAR(naci)+G37),MONTH(naci),DAY(naci))</f>
        <v>27395</v>
      </c>
      <c r="M38" s="140" t="e">
        <f>DATEDIF(cálculo,K38,"d")</f>
        <v>#NUM!</v>
      </c>
    </row>
    <row r="39" spans="2:13" x14ac:dyDescent="0.2">
      <c r="B39" s="150" t="s">
        <v>165</v>
      </c>
      <c r="C39" s="13">
        <f>+VLOOKUP(YEAR(naci),marco,13,FALSE)</f>
        <v>1260</v>
      </c>
      <c r="D39" s="153">
        <f>C39*C40</f>
        <v>44058.023013698628</v>
      </c>
      <c r="F39" s="150" t="s">
        <v>174</v>
      </c>
      <c r="G39" s="13" t="e">
        <f>MIN(G35*12,DATEDIF(cálculo,G38,"m"))</f>
        <v>#NUM!</v>
      </c>
      <c r="H39" s="153" t="e">
        <f>DATEDIF(cálculo,G38,"m")</f>
        <v>#NUM!</v>
      </c>
      <c r="I39" s="150" t="s">
        <v>180</v>
      </c>
      <c r="J39" s="282"/>
      <c r="K39" s="13" t="e">
        <f>DATEDIF(cálculo,G38,"m")</f>
        <v>#NUM!</v>
      </c>
    </row>
    <row r="40" spans="2:13" x14ac:dyDescent="0.2">
      <c r="B40" s="150" t="s">
        <v>166</v>
      </c>
      <c r="C40" s="13">
        <f>SalarioRegulador/365</f>
        <v>34.966684931506848</v>
      </c>
      <c r="F40" s="150" t="s">
        <v>175</v>
      </c>
      <c r="G40" s="13">
        <f>SalarioRegulador</f>
        <v>12762.84</v>
      </c>
      <c r="I40" s="150" t="s">
        <v>181</v>
      </c>
      <c r="J40" s="282"/>
      <c r="K40" s="13">
        <f>SalarioRegulador</f>
        <v>12762.84</v>
      </c>
      <c r="M40" s="140">
        <f>K40/365</f>
        <v>34.966684931506848</v>
      </c>
    </row>
    <row r="41" spans="2:13" x14ac:dyDescent="0.2">
      <c r="B41" s="150" t="s">
        <v>167</v>
      </c>
      <c r="C41" s="13">
        <f>C37*C35</f>
        <v>701.63013698630141</v>
      </c>
      <c r="F41" s="150" t="s">
        <v>176</v>
      </c>
      <c r="G41" s="13" t="e">
        <f>G39*G40/12*G36</f>
        <v>#NUM!</v>
      </c>
      <c r="I41" s="150" t="s">
        <v>182</v>
      </c>
      <c r="J41" s="282"/>
      <c r="K41" s="13" t="e">
        <f>M38*M40*K36</f>
        <v>#NUM!</v>
      </c>
    </row>
    <row r="42" spans="2:13" x14ac:dyDescent="0.2">
      <c r="B42" s="150" t="s">
        <v>169</v>
      </c>
      <c r="C42" s="13">
        <f>IF(C41&lt;C38,C38,IF(C41&lt;C39,C41,C39))</f>
        <v>1080</v>
      </c>
      <c r="F42" s="152" t="s">
        <v>177</v>
      </c>
      <c r="G42" s="12">
        <f>+VLOOKUP(YEAR(naci),marco,7,FALSE)</f>
        <v>0</v>
      </c>
      <c r="I42" s="152" t="s">
        <v>177</v>
      </c>
      <c r="J42" s="11"/>
      <c r="K42" s="12">
        <f>+VLOOKUP(YEAR(naci),marco,7,FALSE)</f>
        <v>0</v>
      </c>
    </row>
    <row r="43" spans="2:13" x14ac:dyDescent="0.2">
      <c r="B43" s="154" t="s">
        <v>168</v>
      </c>
      <c r="C43" s="155">
        <f>C42*C40</f>
        <v>37764.019726027393</v>
      </c>
    </row>
    <row r="44" spans="2:13" x14ac:dyDescent="0.2">
      <c r="B44" s="152" t="s">
        <v>177</v>
      </c>
      <c r="C44" s="177">
        <f>IF(DATEDIF(antigüedad,cálculo,"y")&gt;9,23000,13000)</f>
        <v>23000</v>
      </c>
    </row>
    <row r="47" spans="2:13" x14ac:dyDescent="0.2">
      <c r="B47" s="149" t="s">
        <v>160</v>
      </c>
      <c r="C47" s="14">
        <f>+VLOOKUP(YEAR(naci),marco,18,FALSE)</f>
        <v>720</v>
      </c>
      <c r="F47" s="149" t="s">
        <v>170</v>
      </c>
      <c r="G47" s="14" t="b">
        <f>+IF(VLOOKUP(YEAR(naci),marco,15,FALSE)="B",5)</f>
        <v>0</v>
      </c>
      <c r="I47" s="149"/>
      <c r="J47" s="281"/>
      <c r="K47" s="14"/>
    </row>
    <row r="48" spans="2:13" x14ac:dyDescent="0.2">
      <c r="B48" s="150" t="s">
        <v>163</v>
      </c>
      <c r="C48" s="13">
        <f>DATEDIF(antigüedad,cálculo,"d")</f>
        <v>5691</v>
      </c>
      <c r="F48" s="150" t="s">
        <v>171</v>
      </c>
      <c r="G48" s="13">
        <f>+VLOOKUP(YEAR(naci),marco,16,FALSE)</f>
        <v>0</v>
      </c>
      <c r="I48" s="150" t="s">
        <v>178</v>
      </c>
      <c r="J48" s="282"/>
      <c r="K48" s="13">
        <f>+VLOOKUP(YEAR(naci),marco,16,FALSE)</f>
        <v>0</v>
      </c>
    </row>
    <row r="49" spans="2:13" x14ac:dyDescent="0.2">
      <c r="B49" s="150" t="s">
        <v>113</v>
      </c>
      <c r="C49" s="13">
        <f>C48/365</f>
        <v>15.591780821917808</v>
      </c>
      <c r="F49" s="150" t="s">
        <v>172</v>
      </c>
      <c r="G49" s="13">
        <f>+VLOOKUP(YEAR(naci),marco,17,FALSE)</f>
        <v>0</v>
      </c>
      <c r="I49" s="150" t="s">
        <v>172</v>
      </c>
      <c r="J49" s="282"/>
      <c r="K49" s="13">
        <f>+VLOOKUP(YEAR(naci),marco,17,FALSE)</f>
        <v>0</v>
      </c>
    </row>
    <row r="50" spans="2:13" x14ac:dyDescent="0.2">
      <c r="B50" s="150" t="s">
        <v>164</v>
      </c>
      <c r="C50" s="13">
        <f>+VLOOKUP(YEAR(naci),marco,19,FALSE)</f>
        <v>540</v>
      </c>
      <c r="D50" s="153">
        <f>C50*C52</f>
        <v>18882.009863013696</v>
      </c>
      <c r="F50" s="150" t="s">
        <v>173</v>
      </c>
      <c r="G50" s="151">
        <f>DATE((YEAR(naci)+G49),MONTH(naci),DAY(naci))</f>
        <v>27395</v>
      </c>
      <c r="I50" s="150" t="s">
        <v>179</v>
      </c>
      <c r="J50" s="282"/>
      <c r="K50" s="151">
        <f>DATE((YEAR(naci)+G49),MONTH(naci),DAY(naci))</f>
        <v>27395</v>
      </c>
      <c r="M50" s="140">
        <f>IF(ISERROR(DATEDIF(cálculo,K50,"d")),0,DATEDIF(cálculo,K50,"d"))</f>
        <v>0</v>
      </c>
    </row>
    <row r="51" spans="2:13" x14ac:dyDescent="0.2">
      <c r="B51" s="150" t="s">
        <v>165</v>
      </c>
      <c r="C51" s="13">
        <f>+VLOOKUP(YEAR(naci),marco,18,FALSE)</f>
        <v>720</v>
      </c>
      <c r="D51" s="153">
        <f>C51*C52</f>
        <v>25176.013150684928</v>
      </c>
      <c r="F51" s="150" t="s">
        <v>174</v>
      </c>
      <c r="G51" s="13">
        <f>IF(ISERROR(MIN(G47*12,DATEDIF(cálculo,G50,"m"))),0,MIN(G47*12,DATEDIF(cálculo,G50,"m")))</f>
        <v>0</v>
      </c>
      <c r="H51" s="153">
        <f>IF(ISERROR(DATEDIF(cálculo,G50,"m")),0,DATEDIF(cálculo,G50,"m"))</f>
        <v>0</v>
      </c>
      <c r="I51" s="150" t="s">
        <v>180</v>
      </c>
      <c r="J51" s="282"/>
      <c r="K51" s="13">
        <f>IF(ISERROR(DATEDIF(cálculo,G50,"m")),0,DATEDIF(cálculo,G50,"m"))</f>
        <v>0</v>
      </c>
    </row>
    <row r="52" spans="2:13" x14ac:dyDescent="0.2">
      <c r="B52" s="150" t="s">
        <v>166</v>
      </c>
      <c r="C52" s="13">
        <f>SalarioRegulador/365</f>
        <v>34.966684931506848</v>
      </c>
      <c r="F52" s="150" t="s">
        <v>175</v>
      </c>
      <c r="G52" s="13">
        <f>SalarioRegulador</f>
        <v>12762.84</v>
      </c>
      <c r="I52" s="150" t="s">
        <v>181</v>
      </c>
      <c r="J52" s="282"/>
      <c r="K52" s="13">
        <f>SalarioRegulador</f>
        <v>12762.84</v>
      </c>
      <c r="M52" s="140">
        <f>K52/365</f>
        <v>34.966684931506848</v>
      </c>
    </row>
    <row r="53" spans="2:13" x14ac:dyDescent="0.2">
      <c r="B53" s="150" t="s">
        <v>167</v>
      </c>
      <c r="C53" s="13">
        <f>C49*C47</f>
        <v>11226.082191780823</v>
      </c>
      <c r="F53" s="150" t="s">
        <v>176</v>
      </c>
      <c r="G53" s="13">
        <f>G51*G52/12*G48</f>
        <v>0</v>
      </c>
      <c r="I53" s="150" t="s">
        <v>182</v>
      </c>
      <c r="J53" s="282"/>
      <c r="K53" s="13">
        <f>M50*M52*K48</f>
        <v>0</v>
      </c>
    </row>
    <row r="54" spans="2:13" x14ac:dyDescent="0.2">
      <c r="B54" s="150" t="s">
        <v>169</v>
      </c>
      <c r="C54" s="13">
        <f>IF(C53&lt;C50,C50,IF(C53&lt;C51,C53,C51))</f>
        <v>720</v>
      </c>
      <c r="F54" s="152" t="s">
        <v>177</v>
      </c>
      <c r="G54" s="12">
        <v>0</v>
      </c>
      <c r="I54" s="152" t="s">
        <v>177</v>
      </c>
      <c r="J54" s="11"/>
      <c r="K54" s="12"/>
    </row>
    <row r="55" spans="2:13" x14ac:dyDescent="0.2">
      <c r="B55" s="154" t="s">
        <v>168</v>
      </c>
      <c r="C55" s="155">
        <f>C54*C52</f>
        <v>25176.013150684928</v>
      </c>
    </row>
    <row r="56" spans="2:13" x14ac:dyDescent="0.2">
      <c r="B56" s="152" t="s">
        <v>177</v>
      </c>
      <c r="C56" s="177"/>
    </row>
    <row r="59" spans="2:13" x14ac:dyDescent="0.2">
      <c r="B59" s="1" t="s">
        <v>198</v>
      </c>
      <c r="C59" s="288">
        <f>+MAX(C55,G53,K53)-(I15-I20)</f>
        <v>-50.146849315067811</v>
      </c>
    </row>
  </sheetData>
  <mergeCells count="4">
    <mergeCell ref="G12:I12"/>
    <mergeCell ref="B33:C34"/>
    <mergeCell ref="F33:G34"/>
    <mergeCell ref="I33:K34"/>
  </mergeCells>
  <pageMargins left="0.7" right="0.7" top="0.75" bottom="0.75" header="0.3" footer="0.3"/>
  <pageSetup paperSize="9" orientation="portrait" r:id="rId1"/>
  <ignoredErrors>
    <ignoredError sqref="G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8:N55"/>
  <sheetViews>
    <sheetView workbookViewId="0">
      <selection activeCell="H13" sqref="H13"/>
    </sheetView>
  </sheetViews>
  <sheetFormatPr baseColWidth="10" defaultRowHeight="12.75" x14ac:dyDescent="0.2"/>
  <cols>
    <col min="1" max="1" width="4.85546875" style="1" customWidth="1"/>
    <col min="2" max="5" width="11.42578125" style="1"/>
    <col min="6" max="6" width="15.5703125" style="1" customWidth="1"/>
    <col min="7" max="7" width="6.140625" style="1" customWidth="1"/>
    <col min="8" max="8" width="11.42578125" style="1"/>
    <col min="9" max="9" width="12.42578125" style="1" customWidth="1"/>
    <col min="10" max="11" width="11.42578125" style="1"/>
    <col min="12" max="12" width="13.140625" style="1" customWidth="1"/>
    <col min="13" max="16384" width="11.42578125" style="1"/>
  </cols>
  <sheetData>
    <row r="8" spans="2:12" x14ac:dyDescent="0.2">
      <c r="B8" s="345" t="s">
        <v>57</v>
      </c>
      <c r="C8" s="346"/>
      <c r="D8" s="346"/>
      <c r="E8" s="346"/>
      <c r="F8" s="347"/>
      <c r="H8" s="345" t="s">
        <v>132</v>
      </c>
      <c r="I8" s="346"/>
      <c r="J8" s="346"/>
      <c r="K8" s="346"/>
      <c r="L8" s="347"/>
    </row>
    <row r="9" spans="2:12" ht="12.75" customHeight="1" x14ac:dyDescent="0.2">
      <c r="B9" s="35" t="s">
        <v>58</v>
      </c>
      <c r="C9" s="36" t="s">
        <v>59</v>
      </c>
      <c r="D9" s="37" t="s">
        <v>60</v>
      </c>
      <c r="E9" s="37" t="s">
        <v>61</v>
      </c>
      <c r="F9" s="38"/>
      <c r="H9" s="35" t="s">
        <v>7</v>
      </c>
      <c r="I9" s="37" t="s">
        <v>2</v>
      </c>
      <c r="J9" s="37" t="s">
        <v>77</v>
      </c>
      <c r="K9" s="37" t="s">
        <v>5</v>
      </c>
      <c r="L9" s="66" t="s">
        <v>78</v>
      </c>
    </row>
    <row r="10" spans="2:12" x14ac:dyDescent="0.2">
      <c r="B10" s="39">
        <v>2017</v>
      </c>
      <c r="C10" s="40">
        <v>36.25</v>
      </c>
      <c r="D10" s="40">
        <v>65</v>
      </c>
      <c r="E10" s="40">
        <f>785/12</f>
        <v>65.416666666666671</v>
      </c>
      <c r="F10" s="41" t="s">
        <v>62</v>
      </c>
      <c r="H10" s="42">
        <v>1959</v>
      </c>
      <c r="I10" s="68">
        <f t="shared" ref="I10:I16" si="0">2019-H10</f>
        <v>60</v>
      </c>
      <c r="J10" s="69">
        <v>42277</v>
      </c>
      <c r="K10" s="43">
        <v>63</v>
      </c>
      <c r="L10" s="70">
        <f t="shared" ref="L10:L16" si="1">+K10-I10</f>
        <v>3</v>
      </c>
    </row>
    <row r="11" spans="2:12" x14ac:dyDescent="0.2">
      <c r="B11" s="42">
        <v>2018</v>
      </c>
      <c r="C11" s="43">
        <v>36.5</v>
      </c>
      <c r="D11" s="43">
        <v>65</v>
      </c>
      <c r="E11" s="43">
        <f>786/12</f>
        <v>65.5</v>
      </c>
      <c r="F11" s="44" t="s">
        <v>63</v>
      </c>
      <c r="H11" s="42">
        <v>1960</v>
      </c>
      <c r="I11" s="68">
        <f t="shared" si="0"/>
        <v>59</v>
      </c>
      <c r="J11" s="69">
        <v>42277</v>
      </c>
      <c r="K11" s="43">
        <v>63</v>
      </c>
      <c r="L11" s="70">
        <f t="shared" si="1"/>
        <v>4</v>
      </c>
    </row>
    <row r="12" spans="2:12" x14ac:dyDescent="0.2">
      <c r="B12" s="39">
        <v>2019</v>
      </c>
      <c r="C12" s="40">
        <v>36.75</v>
      </c>
      <c r="D12" s="40">
        <v>65</v>
      </c>
      <c r="E12" s="40">
        <f>788/12</f>
        <v>65.666666666666671</v>
      </c>
      <c r="F12" s="41" t="s">
        <v>64</v>
      </c>
      <c r="H12" s="42">
        <v>1961</v>
      </c>
      <c r="I12" s="68">
        <f t="shared" si="0"/>
        <v>58</v>
      </c>
      <c r="J12" s="69">
        <v>42277</v>
      </c>
      <c r="K12" s="43">
        <v>63</v>
      </c>
      <c r="L12" s="70">
        <f t="shared" si="1"/>
        <v>5</v>
      </c>
    </row>
    <row r="13" spans="2:12" x14ac:dyDescent="0.2">
      <c r="B13" s="42">
        <v>2020</v>
      </c>
      <c r="C13" s="43">
        <v>37</v>
      </c>
      <c r="D13" s="43">
        <v>65</v>
      </c>
      <c r="E13" s="43">
        <f>790/12</f>
        <v>65.833333333333329</v>
      </c>
      <c r="F13" s="44" t="s">
        <v>65</v>
      </c>
      <c r="H13" s="42">
        <v>1962</v>
      </c>
      <c r="I13" s="68">
        <f t="shared" si="0"/>
        <v>57</v>
      </c>
      <c r="J13" s="69">
        <v>42277</v>
      </c>
      <c r="K13" s="43">
        <v>63</v>
      </c>
      <c r="L13" s="70">
        <f t="shared" si="1"/>
        <v>6</v>
      </c>
    </row>
    <row r="14" spans="2:12" x14ac:dyDescent="0.2">
      <c r="B14" s="45">
        <v>2021</v>
      </c>
      <c r="C14" s="46">
        <v>37.25</v>
      </c>
      <c r="D14" s="46">
        <v>65</v>
      </c>
      <c r="E14" s="46">
        <f>792/12</f>
        <v>66</v>
      </c>
      <c r="F14" s="47" t="s">
        <v>66</v>
      </c>
      <c r="H14" s="55">
        <v>1963</v>
      </c>
      <c r="I14" s="56">
        <f t="shared" si="0"/>
        <v>56</v>
      </c>
      <c r="J14" s="71">
        <v>42277</v>
      </c>
      <c r="K14" s="56">
        <v>63</v>
      </c>
      <c r="L14" s="72">
        <f t="shared" si="1"/>
        <v>7</v>
      </c>
    </row>
    <row r="15" spans="2:12" x14ac:dyDescent="0.2">
      <c r="B15" s="48">
        <v>2022</v>
      </c>
      <c r="C15" s="49">
        <v>37.5</v>
      </c>
      <c r="D15" s="49">
        <v>65</v>
      </c>
      <c r="E15" s="49">
        <f>794/12</f>
        <v>66.166666666666671</v>
      </c>
      <c r="F15" s="50" t="s">
        <v>67</v>
      </c>
      <c r="H15" s="42">
        <v>1964</v>
      </c>
      <c r="I15" s="68">
        <f t="shared" si="0"/>
        <v>55</v>
      </c>
      <c r="J15" s="69">
        <v>42277</v>
      </c>
      <c r="K15" s="43">
        <v>63</v>
      </c>
      <c r="L15" s="70">
        <f t="shared" si="1"/>
        <v>8</v>
      </c>
    </row>
    <row r="16" spans="2:12" x14ac:dyDescent="0.2">
      <c r="B16" s="51">
        <v>2023</v>
      </c>
      <c r="C16" s="52">
        <v>37.75</v>
      </c>
      <c r="D16" s="52">
        <v>65</v>
      </c>
      <c r="E16" s="52">
        <f>796/12</f>
        <v>66.333333333333329</v>
      </c>
      <c r="F16" s="53" t="s">
        <v>68</v>
      </c>
      <c r="H16" s="55">
        <v>1965</v>
      </c>
      <c r="I16" s="56">
        <f t="shared" si="0"/>
        <v>54</v>
      </c>
      <c r="J16" s="71">
        <v>42277</v>
      </c>
      <c r="K16" s="56">
        <v>63</v>
      </c>
      <c r="L16" s="72">
        <f t="shared" si="1"/>
        <v>9</v>
      </c>
    </row>
    <row r="17" spans="2:14" x14ac:dyDescent="0.2">
      <c r="B17" s="35">
        <v>2024</v>
      </c>
      <c r="C17" s="37">
        <v>38</v>
      </c>
      <c r="D17" s="37">
        <v>65</v>
      </c>
      <c r="E17" s="37">
        <f>798/12</f>
        <v>66.5</v>
      </c>
      <c r="F17" s="54" t="s">
        <v>69</v>
      </c>
      <c r="H17" s="345" t="s">
        <v>79</v>
      </c>
      <c r="I17" s="346"/>
      <c r="J17" s="346"/>
      <c r="K17" s="351"/>
      <c r="L17" s="352"/>
    </row>
    <row r="18" spans="2:14" x14ac:dyDescent="0.2">
      <c r="B18" s="55">
        <v>2025</v>
      </c>
      <c r="C18" s="56">
        <v>38.25</v>
      </c>
      <c r="D18" s="56">
        <v>65</v>
      </c>
      <c r="E18" s="56">
        <f>800/12</f>
        <v>66.666666666666671</v>
      </c>
      <c r="F18" s="57" t="s">
        <v>70</v>
      </c>
      <c r="H18" s="353" t="s">
        <v>80</v>
      </c>
      <c r="I18" s="354"/>
      <c r="J18" s="73">
        <f>+'ERE 2019'!C12</f>
        <v>27395</v>
      </c>
      <c r="K18" s="74"/>
      <c r="L18" s="74"/>
    </row>
    <row r="19" spans="2:14" x14ac:dyDescent="0.2">
      <c r="B19" s="42">
        <v>2026</v>
      </c>
      <c r="C19" s="43">
        <v>38.5</v>
      </c>
      <c r="D19" s="43">
        <v>65</v>
      </c>
      <c r="E19" s="43">
        <f>802/12</f>
        <v>66.833333333333329</v>
      </c>
      <c r="F19" s="44" t="s">
        <v>71</v>
      </c>
      <c r="H19" s="355" t="s">
        <v>81</v>
      </c>
      <c r="I19" s="356"/>
      <c r="J19" s="75" t="str">
        <f>+'ERE 2019'!K48</f>
        <v/>
      </c>
      <c r="K19" s="76" t="str">
        <f>+'ERE 2019'!K47</f>
        <v/>
      </c>
      <c r="L19" s="77">
        <v>63</v>
      </c>
    </row>
    <row r="20" spans="2:14" x14ac:dyDescent="0.2">
      <c r="B20" s="39">
        <v>2027</v>
      </c>
      <c r="C20" s="40">
        <v>38.5</v>
      </c>
      <c r="D20" s="40">
        <v>65</v>
      </c>
      <c r="E20" s="40">
        <f t="shared" ref="E20:E25" si="2">804/12</f>
        <v>67</v>
      </c>
      <c r="F20" s="41" t="s">
        <v>72</v>
      </c>
    </row>
    <row r="21" spans="2:14" x14ac:dyDescent="0.2">
      <c r="B21" s="188">
        <v>2028</v>
      </c>
      <c r="C21" s="67">
        <v>38.5</v>
      </c>
      <c r="D21" s="67">
        <v>65</v>
      </c>
      <c r="E21" s="67">
        <f t="shared" si="2"/>
        <v>67</v>
      </c>
      <c r="F21" s="189" t="s">
        <v>72</v>
      </c>
    </row>
    <row r="22" spans="2:14" x14ac:dyDescent="0.2">
      <c r="B22" s="190">
        <v>2029</v>
      </c>
      <c r="C22" s="40">
        <v>38.5</v>
      </c>
      <c r="D22" s="40">
        <v>65</v>
      </c>
      <c r="E22" s="40">
        <f t="shared" si="2"/>
        <v>67</v>
      </c>
      <c r="F22" s="41" t="s">
        <v>72</v>
      </c>
      <c r="H22" s="111" t="s">
        <v>82</v>
      </c>
      <c r="I22" s="111"/>
      <c r="J22" s="79" t="e">
        <f>+J19+2</f>
        <v>#VALUE!</v>
      </c>
      <c r="K22" s="113">
        <f>+DATE(YEAR(naci)+65,MONTH(naci),DAY(naci))</f>
        <v>51136</v>
      </c>
      <c r="L22" s="112" t="e">
        <f>+IF(J22&lt;VLOOKUP(YEAR(K22),B10:E25,2,FALSE),VLOOKUP(YEAR(K22),B10:E25,4,FALSE),VLOOKUP(YEAR(K22),B10:E25,3,FALSE))</f>
        <v>#VALUE!</v>
      </c>
    </row>
    <row r="23" spans="2:14" x14ac:dyDescent="0.2">
      <c r="B23" s="191">
        <v>2030</v>
      </c>
      <c r="C23" s="56">
        <v>38.5</v>
      </c>
      <c r="D23" s="56">
        <v>65</v>
      </c>
      <c r="E23" s="56">
        <f t="shared" si="2"/>
        <v>67</v>
      </c>
      <c r="F23" s="57" t="s">
        <v>72</v>
      </c>
    </row>
    <row r="24" spans="2:14" ht="12" customHeight="1" x14ac:dyDescent="0.2">
      <c r="B24" s="188">
        <v>2031</v>
      </c>
      <c r="C24" s="67">
        <v>38.5</v>
      </c>
      <c r="D24" s="67">
        <v>65</v>
      </c>
      <c r="E24" s="67">
        <f t="shared" si="2"/>
        <v>67</v>
      </c>
      <c r="F24" s="189" t="s">
        <v>72</v>
      </c>
      <c r="G24" s="78" t="s">
        <v>88</v>
      </c>
      <c r="H24" s="78"/>
      <c r="I24" s="83" t="e">
        <f>+L22-L19</f>
        <v>#VALUE!</v>
      </c>
      <c r="J24" s="84"/>
      <c r="K24" s="84" t="e">
        <f>+I24*0.02</f>
        <v>#VALUE!</v>
      </c>
      <c r="L24" s="78" t="s">
        <v>94</v>
      </c>
    </row>
    <row r="25" spans="2:14" ht="12" customHeight="1" x14ac:dyDescent="0.2">
      <c r="B25" s="191">
        <v>2032</v>
      </c>
      <c r="C25" s="56">
        <v>38.5</v>
      </c>
      <c r="D25" s="56">
        <v>65</v>
      </c>
      <c r="E25" s="56">
        <f t="shared" si="2"/>
        <v>67</v>
      </c>
      <c r="F25" s="57" t="s">
        <v>72</v>
      </c>
      <c r="G25" s="78" t="s">
        <v>89</v>
      </c>
      <c r="H25" s="78"/>
      <c r="I25" s="85" t="e">
        <f>+I24*4</f>
        <v>#VALUE!</v>
      </c>
      <c r="J25" s="91" t="e">
        <f>+VLOOKUP(J19,H46:I49,2)</f>
        <v>#N/A</v>
      </c>
      <c r="K25" s="86" t="e">
        <f>+J25*I25</f>
        <v>#N/A</v>
      </c>
      <c r="L25" s="78" t="s">
        <v>95</v>
      </c>
    </row>
    <row r="27" spans="2:14" x14ac:dyDescent="0.2">
      <c r="H27" s="345" t="s">
        <v>96</v>
      </c>
      <c r="I27" s="346"/>
      <c r="J27" s="346"/>
      <c r="K27" s="346"/>
      <c r="L27" s="347"/>
    </row>
    <row r="28" spans="2:14" x14ac:dyDescent="0.2">
      <c r="H28" s="357" t="s">
        <v>97</v>
      </c>
      <c r="I28" s="357"/>
      <c r="J28" s="357"/>
      <c r="K28" s="357"/>
      <c r="L28" s="357"/>
    </row>
    <row r="29" spans="2:14" x14ac:dyDescent="0.2">
      <c r="B29" s="348" t="s">
        <v>73</v>
      </c>
      <c r="C29" s="349"/>
      <c r="D29" s="350"/>
      <c r="H29" s="78"/>
      <c r="I29" s="78"/>
      <c r="J29" s="78"/>
      <c r="K29" s="78"/>
      <c r="L29" s="78"/>
    </row>
    <row r="30" spans="2:14" x14ac:dyDescent="0.2">
      <c r="B30" s="336" t="s">
        <v>74</v>
      </c>
      <c r="C30" s="338" t="s">
        <v>75</v>
      </c>
      <c r="D30" s="340" t="s">
        <v>76</v>
      </c>
      <c r="H30" s="78"/>
      <c r="I30" s="78"/>
      <c r="J30" s="78"/>
      <c r="K30" s="78"/>
      <c r="L30" s="78"/>
    </row>
    <row r="31" spans="2:14" x14ac:dyDescent="0.2">
      <c r="B31" s="337"/>
      <c r="C31" s="339"/>
      <c r="D31" s="341"/>
      <c r="H31" s="78" t="s">
        <v>92</v>
      </c>
      <c r="I31" s="78"/>
      <c r="J31" s="97" t="e">
        <f>+LOOKUP(YEAR(coti),J45:J53,L45:L53)</f>
        <v>#VALUE!</v>
      </c>
      <c r="K31" s="98"/>
      <c r="L31" s="78"/>
    </row>
    <row r="32" spans="2:14" x14ac:dyDescent="0.2">
      <c r="B32" s="39">
        <v>15</v>
      </c>
      <c r="C32" s="59">
        <v>0.5</v>
      </c>
      <c r="D32" s="60">
        <v>1.9E-3</v>
      </c>
      <c r="H32" s="78" t="s">
        <v>98</v>
      </c>
      <c r="I32" s="78"/>
      <c r="J32" s="99" t="e">
        <f>+VLOOKUP(J19,B32:C55,2)+(VLOOKUP(J19,B32:D55,3)*(J19-INT(J19))/12)</f>
        <v>#N/A</v>
      </c>
      <c r="K32" s="98"/>
      <c r="L32" s="78"/>
      <c r="N32" s="3"/>
    </row>
    <row r="33" spans="2:12" x14ac:dyDescent="0.2">
      <c r="B33" s="42">
        <v>16</v>
      </c>
      <c r="C33" s="61">
        <f t="shared" ref="C33:C55" si="3">+C32+(12*(B33-B32)*D32)</f>
        <v>0.52280000000000004</v>
      </c>
      <c r="D33" s="62">
        <v>1.9E-3</v>
      </c>
      <c r="H33" s="78"/>
      <c r="I33" s="78"/>
      <c r="J33" s="78"/>
      <c r="K33" s="5" t="s">
        <v>99</v>
      </c>
      <c r="L33" s="78"/>
    </row>
    <row r="34" spans="2:12" x14ac:dyDescent="0.2">
      <c r="B34" s="39">
        <v>17</v>
      </c>
      <c r="C34" s="59">
        <f t="shared" si="3"/>
        <v>0.54560000000000008</v>
      </c>
      <c r="D34" s="60">
        <v>1.9E-3</v>
      </c>
      <c r="H34" s="78" t="s">
        <v>100</v>
      </c>
      <c r="I34" s="100"/>
      <c r="J34" s="97" t="e">
        <f>+J31*J32</f>
        <v>#VALUE!</v>
      </c>
      <c r="K34" s="101" t="e">
        <f>+K25</f>
        <v>#N/A</v>
      </c>
      <c r="L34" s="102" t="e">
        <f>+J31*(1-K34)</f>
        <v>#VALUE!</v>
      </c>
    </row>
    <row r="35" spans="2:12" x14ac:dyDescent="0.2">
      <c r="B35" s="42">
        <v>18</v>
      </c>
      <c r="C35" s="61">
        <f t="shared" si="3"/>
        <v>0.56840000000000013</v>
      </c>
      <c r="D35" s="62">
        <v>1.9E-3</v>
      </c>
      <c r="H35" s="103" t="s">
        <v>103</v>
      </c>
      <c r="I35" s="78"/>
      <c r="J35" s="97" t="e">
        <f>+LOOKUP(YEAR(coti),J45:J53,K45:K53)</f>
        <v>#VALUE!</v>
      </c>
      <c r="K35" s="104" t="e">
        <f>+K24</f>
        <v>#VALUE!</v>
      </c>
      <c r="L35" s="102" t="e">
        <f>+J35*(1-K35)</f>
        <v>#VALUE!</v>
      </c>
    </row>
    <row r="36" spans="2:12" x14ac:dyDescent="0.2">
      <c r="B36" s="39">
        <v>19</v>
      </c>
      <c r="C36" s="59">
        <f t="shared" si="3"/>
        <v>0.59120000000000017</v>
      </c>
      <c r="D36" s="60">
        <v>1.9E-3</v>
      </c>
      <c r="H36" s="78"/>
      <c r="I36" s="105" t="s">
        <v>101</v>
      </c>
      <c r="J36" s="106"/>
      <c r="K36" s="106"/>
      <c r="L36" s="107" t="e">
        <f>+MIN(L35,L34)</f>
        <v>#VALUE!</v>
      </c>
    </row>
    <row r="37" spans="2:12" x14ac:dyDescent="0.2">
      <c r="B37" s="42">
        <v>20</v>
      </c>
      <c r="C37" s="61">
        <f t="shared" si="3"/>
        <v>0.61400000000000021</v>
      </c>
      <c r="D37" s="62">
        <v>1.9E-3</v>
      </c>
      <c r="H37" s="108"/>
      <c r="I37" s="109" t="s">
        <v>102</v>
      </c>
      <c r="J37" s="108"/>
      <c r="K37" s="108"/>
      <c r="L37" s="110" t="e">
        <f>+L36/14</f>
        <v>#VALUE!</v>
      </c>
    </row>
    <row r="38" spans="2:12" x14ac:dyDescent="0.2">
      <c r="B38" s="39">
        <v>21</v>
      </c>
      <c r="C38" s="59">
        <f t="shared" si="3"/>
        <v>0.63680000000000025</v>
      </c>
      <c r="D38" s="60">
        <v>1.9E-3</v>
      </c>
    </row>
    <row r="39" spans="2:12" x14ac:dyDescent="0.2">
      <c r="B39" s="42">
        <v>22</v>
      </c>
      <c r="C39" s="61">
        <f t="shared" si="3"/>
        <v>0.6596000000000003</v>
      </c>
      <c r="D39" s="62">
        <v>1.9E-3</v>
      </c>
    </row>
    <row r="40" spans="2:12" x14ac:dyDescent="0.2">
      <c r="B40" s="39">
        <v>23</v>
      </c>
      <c r="C40" s="59">
        <f t="shared" si="3"/>
        <v>0.68240000000000034</v>
      </c>
      <c r="D40" s="60">
        <v>1.9E-3</v>
      </c>
      <c r="J40" s="123"/>
      <c r="K40" s="124">
        <f>+K43/14</f>
        <v>2659.41</v>
      </c>
      <c r="L40" s="124">
        <f>+L43/12</f>
        <v>4070.1</v>
      </c>
    </row>
    <row r="41" spans="2:12" x14ac:dyDescent="0.2">
      <c r="B41" s="42">
        <v>24</v>
      </c>
      <c r="C41" s="61">
        <f t="shared" si="3"/>
        <v>0.70520000000000038</v>
      </c>
      <c r="D41" s="62">
        <v>1.9E-3</v>
      </c>
      <c r="J41" s="123"/>
      <c r="K41" s="334" t="s">
        <v>91</v>
      </c>
      <c r="L41" s="334" t="s">
        <v>92</v>
      </c>
    </row>
    <row r="42" spans="2:12" x14ac:dyDescent="0.2">
      <c r="B42" s="39">
        <v>25</v>
      </c>
      <c r="C42" s="59">
        <f t="shared" si="3"/>
        <v>0.72800000000000042</v>
      </c>
      <c r="D42" s="60">
        <v>1.9E-3</v>
      </c>
      <c r="F42" s="80" t="s">
        <v>83</v>
      </c>
      <c r="G42" s="81"/>
      <c r="H42" s="81"/>
      <c r="I42" s="114"/>
      <c r="J42" s="123"/>
      <c r="K42" s="334"/>
      <c r="L42" s="334"/>
    </row>
    <row r="43" spans="2:12" x14ac:dyDescent="0.2">
      <c r="B43" s="42">
        <v>26</v>
      </c>
      <c r="C43" s="61">
        <f t="shared" si="3"/>
        <v>0.75080000000000047</v>
      </c>
      <c r="D43" s="62">
        <v>1.9E-3</v>
      </c>
      <c r="F43" s="342" t="s">
        <v>87</v>
      </c>
      <c r="G43" s="338" t="s">
        <v>84</v>
      </c>
      <c r="H43" s="58"/>
      <c r="I43" s="115" t="s">
        <v>85</v>
      </c>
      <c r="J43" s="92">
        <v>2019</v>
      </c>
      <c r="K43" s="75">
        <v>37231.74</v>
      </c>
      <c r="L43" s="75">
        <f>4070.1*12</f>
        <v>48841.2</v>
      </c>
    </row>
    <row r="44" spans="2:12" x14ac:dyDescent="0.2">
      <c r="B44" s="39">
        <v>27</v>
      </c>
      <c r="C44" s="59">
        <f t="shared" si="3"/>
        <v>0.77360000000000051</v>
      </c>
      <c r="D44" s="60">
        <v>1.9E-3</v>
      </c>
      <c r="F44" s="343"/>
      <c r="G44" s="339"/>
      <c r="H44" s="82"/>
      <c r="I44" s="70"/>
      <c r="J44" s="335" t="s">
        <v>93</v>
      </c>
      <c r="K44" s="335"/>
      <c r="L44" s="335"/>
    </row>
    <row r="45" spans="2:12" x14ac:dyDescent="0.2">
      <c r="B45" s="42">
        <v>28</v>
      </c>
      <c r="C45" s="61">
        <f t="shared" si="3"/>
        <v>0.79640000000000055</v>
      </c>
      <c r="D45" s="62">
        <v>1.9E-3</v>
      </c>
      <c r="F45" s="343"/>
      <c r="G45" s="40"/>
      <c r="H45" s="40"/>
      <c r="I45" s="116"/>
      <c r="J45" s="93">
        <f>+H10+K10</f>
        <v>2022</v>
      </c>
      <c r="K45" s="94">
        <f>K43*1.01^5</f>
        <v>39130.93292271017</v>
      </c>
      <c r="L45" s="94">
        <f>L43*1.01^5</f>
        <v>51332.592058944116</v>
      </c>
    </row>
    <row r="46" spans="2:12" x14ac:dyDescent="0.2">
      <c r="B46" s="39">
        <v>29</v>
      </c>
      <c r="C46" s="59">
        <f t="shared" si="3"/>
        <v>0.81920000000000059</v>
      </c>
      <c r="D46" s="60">
        <v>1.9E-3</v>
      </c>
      <c r="F46" s="343"/>
      <c r="G46" s="43" t="s">
        <v>86</v>
      </c>
      <c r="H46" s="87">
        <v>0</v>
      </c>
      <c r="I46" s="117">
        <v>1.8749999999999999E-2</v>
      </c>
      <c r="J46" s="119">
        <f>+H13+K13</f>
        <v>2025</v>
      </c>
      <c r="K46" s="120">
        <f>K43*1.01^6</f>
        <v>39522.242251937278</v>
      </c>
      <c r="L46" s="120">
        <f>L43*1.01^6</f>
        <v>51845.917979533566</v>
      </c>
    </row>
    <row r="47" spans="2:12" x14ac:dyDescent="0.2">
      <c r="B47" s="42">
        <v>30</v>
      </c>
      <c r="C47" s="61">
        <f t="shared" si="3"/>
        <v>0.84200000000000064</v>
      </c>
      <c r="D47" s="62">
        <v>1.9E-3</v>
      </c>
      <c r="F47" s="343"/>
      <c r="G47" s="40" t="s">
        <v>90</v>
      </c>
      <c r="H47" s="88">
        <v>38.500100000000003</v>
      </c>
      <c r="I47" s="116">
        <v>1.7500000000000002E-2</v>
      </c>
      <c r="J47" s="95">
        <f>+H14+K14</f>
        <v>2026</v>
      </c>
      <c r="K47" s="96">
        <f>K43*1.01^7</f>
        <v>39917.464674456642</v>
      </c>
      <c r="L47" s="96">
        <f>L43*1.01^7</f>
        <v>52364.377159328884</v>
      </c>
    </row>
    <row r="48" spans="2:12" x14ac:dyDescent="0.2">
      <c r="B48" s="39">
        <v>31</v>
      </c>
      <c r="C48" s="59">
        <f t="shared" si="3"/>
        <v>0.86480000000000068</v>
      </c>
      <c r="D48" s="60">
        <v>1.9E-3</v>
      </c>
      <c r="F48" s="343"/>
      <c r="G48" s="43" t="s">
        <v>90</v>
      </c>
      <c r="H48" s="89">
        <v>41.500100000000003</v>
      </c>
      <c r="I48" s="117">
        <v>1.6250000000000001E-2</v>
      </c>
      <c r="J48" s="121">
        <f>+H15+K15</f>
        <v>2027</v>
      </c>
      <c r="K48" s="122">
        <f>K43*1.01^8</f>
        <v>40316.639321201219</v>
      </c>
      <c r="L48" s="122">
        <f>L43*1.01^8</f>
        <v>52888.02093092219</v>
      </c>
    </row>
    <row r="49" spans="2:12" x14ac:dyDescent="0.2">
      <c r="B49" s="42">
        <v>32</v>
      </c>
      <c r="C49" s="61">
        <f t="shared" si="3"/>
        <v>0.88760000000000072</v>
      </c>
      <c r="D49" s="62">
        <v>1.9E-3</v>
      </c>
      <c r="F49" s="344"/>
      <c r="G49" s="56" t="s">
        <v>90</v>
      </c>
      <c r="H49" s="90">
        <v>44.500100000000003</v>
      </c>
      <c r="I49" s="118">
        <v>1.4999999999999999E-2</v>
      </c>
      <c r="J49" s="95">
        <f>+H16+K16</f>
        <v>2028</v>
      </c>
      <c r="K49" s="96">
        <f>$K$43*1.01^9</f>
        <v>40719.805714413233</v>
      </c>
      <c r="L49" s="96">
        <f>$L$43*1.01^9</f>
        <v>53416.901140231414</v>
      </c>
    </row>
    <row r="50" spans="2:12" x14ac:dyDescent="0.2">
      <c r="B50" s="39">
        <v>33</v>
      </c>
      <c r="C50" s="59">
        <f t="shared" si="3"/>
        <v>0.91040000000000076</v>
      </c>
      <c r="D50" s="60">
        <v>1.9E-3</v>
      </c>
      <c r="J50" s="140">
        <v>2029</v>
      </c>
      <c r="K50" s="96">
        <f>$K$43*1.01^10</f>
        <v>41127.003771557364</v>
      </c>
      <c r="L50" s="96">
        <f>$L$43*1.01^10</f>
        <v>53951.070151633729</v>
      </c>
    </row>
    <row r="51" spans="2:12" x14ac:dyDescent="0.2">
      <c r="B51" s="42">
        <v>34</v>
      </c>
      <c r="C51" s="61">
        <f t="shared" si="3"/>
        <v>0.93320000000000081</v>
      </c>
      <c r="D51" s="62">
        <v>1.9E-3</v>
      </c>
      <c r="J51" s="140">
        <v>2030</v>
      </c>
      <c r="K51" s="96">
        <f>$K$43*1.01^11</f>
        <v>41538.273809272934</v>
      </c>
      <c r="L51" s="96">
        <f>$L$43*1.01^11</f>
        <v>54490.580853150059</v>
      </c>
    </row>
    <row r="52" spans="2:12" x14ac:dyDescent="0.2">
      <c r="B52" s="39">
        <v>35</v>
      </c>
      <c r="C52" s="59">
        <f t="shared" si="3"/>
        <v>0.95600000000000085</v>
      </c>
      <c r="D52" s="60">
        <v>1.9E-3</v>
      </c>
      <c r="J52" s="140">
        <v>2031</v>
      </c>
      <c r="K52" s="96">
        <f>$K$43*1.01^12</f>
        <v>41953.656547365659</v>
      </c>
      <c r="L52" s="96">
        <f>$L$43*1.01^12</f>
        <v>55035.486661681556</v>
      </c>
    </row>
    <row r="53" spans="2:12" x14ac:dyDescent="0.2">
      <c r="B53" s="42">
        <f>35+(8/12)</f>
        <v>35.666666666666664</v>
      </c>
      <c r="C53" s="61">
        <f t="shared" si="3"/>
        <v>0.97120000000000084</v>
      </c>
      <c r="D53" s="62">
        <v>1.8E-3</v>
      </c>
      <c r="J53" s="140">
        <v>2032</v>
      </c>
      <c r="K53" s="96">
        <f>$K$43*1.01^13</f>
        <v>42373.193112839319</v>
      </c>
      <c r="L53" s="96">
        <f>$L$43*1.01^13</f>
        <v>55585.841528298377</v>
      </c>
    </row>
    <row r="54" spans="2:12" x14ac:dyDescent="0.2">
      <c r="B54" s="39">
        <v>36</v>
      </c>
      <c r="C54" s="59">
        <f t="shared" si="3"/>
        <v>0.97840000000000094</v>
      </c>
      <c r="D54" s="60">
        <f>+D53</f>
        <v>1.8E-3</v>
      </c>
    </row>
    <row r="55" spans="2:12" x14ac:dyDescent="0.2">
      <c r="B55" s="63">
        <v>37</v>
      </c>
      <c r="C55" s="64">
        <f t="shared" si="3"/>
        <v>1.0000000000000009</v>
      </c>
      <c r="D55" s="65"/>
    </row>
  </sheetData>
  <mergeCells count="16">
    <mergeCell ref="H27:L27"/>
    <mergeCell ref="B8:F8"/>
    <mergeCell ref="B29:D29"/>
    <mergeCell ref="H8:L8"/>
    <mergeCell ref="H17:L17"/>
    <mergeCell ref="H18:I18"/>
    <mergeCell ref="H19:I19"/>
    <mergeCell ref="H28:L28"/>
    <mergeCell ref="K41:K42"/>
    <mergeCell ref="L41:L42"/>
    <mergeCell ref="J44:L44"/>
    <mergeCell ref="B30:B31"/>
    <mergeCell ref="C30:C31"/>
    <mergeCell ref="D30:D31"/>
    <mergeCell ref="F43:F49"/>
    <mergeCell ref="G43:G44"/>
  </mergeCells>
  <conditionalFormatting sqref="L22">
    <cfRule type="colorScale" priority="3">
      <colorScale>
        <cfvo type="num" val="65.099999999999994"/>
        <cfvo type="max"/>
        <color theme="9" tint="0.59999389629810485"/>
        <color theme="5" tint="-0.249977111117893"/>
      </colorScale>
    </cfRule>
  </conditionalFormatting>
  <conditionalFormatting sqref="J24">
    <cfRule type="expression" dxfId="21" priority="2">
      <formula>#REF!="anterior a"</formula>
    </cfRule>
  </conditionalFormatting>
  <conditionalFormatting sqref="K24">
    <cfRule type="expression" dxfId="20" priority="1">
      <formula>#REF!="posterior a"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AN149"/>
  <sheetViews>
    <sheetView topLeftCell="A55" workbookViewId="0">
      <selection activeCell="J53" sqref="J53"/>
    </sheetView>
  </sheetViews>
  <sheetFormatPr baseColWidth="10" defaultRowHeight="12.75" x14ac:dyDescent="0.2"/>
  <cols>
    <col min="1" max="1" width="2.7109375" style="6" customWidth="1"/>
    <col min="2" max="2" width="11.42578125" style="6"/>
    <col min="3" max="3" width="14.140625" style="6" bestFit="1" customWidth="1"/>
    <col min="4" max="4" width="8.7109375" style="6" bestFit="1" customWidth="1"/>
    <col min="5" max="5" width="11.42578125" style="6"/>
    <col min="6" max="6" width="9.5703125" style="6" customWidth="1"/>
    <col min="7" max="7" width="36" style="6" bestFit="1" customWidth="1"/>
    <col min="8" max="8" width="24" style="6" customWidth="1"/>
    <col min="9" max="9" width="13.5703125" style="6" customWidth="1"/>
    <col min="10" max="10" width="16.85546875" style="6" bestFit="1" customWidth="1"/>
    <col min="11" max="11" width="11.42578125" style="6"/>
    <col min="12" max="12" width="8" style="6" bestFit="1" customWidth="1"/>
    <col min="13" max="13" width="6.7109375" style="6" bestFit="1" customWidth="1"/>
    <col min="14" max="14" width="8.7109375" style="6" bestFit="1" customWidth="1"/>
    <col min="15" max="15" width="7.28515625" style="6" bestFit="1" customWidth="1"/>
    <col min="16" max="16" width="8.5703125" style="6" bestFit="1" customWidth="1"/>
    <col min="17" max="17" width="8.5703125" style="6" customWidth="1"/>
    <col min="18" max="16384" width="11.42578125" style="6"/>
  </cols>
  <sheetData>
    <row r="4" spans="3:22" x14ac:dyDescent="0.2"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</row>
    <row r="5" spans="3:22" x14ac:dyDescent="0.2">
      <c r="C5" s="6" t="s">
        <v>104</v>
      </c>
    </row>
    <row r="6" spans="3:22" x14ac:dyDescent="0.2"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6" t="s">
        <v>105</v>
      </c>
      <c r="K6" s="8" t="s">
        <v>139</v>
      </c>
      <c r="N6" s="135" t="s">
        <v>158</v>
      </c>
      <c r="O6" s="135" t="s">
        <v>162</v>
      </c>
      <c r="P6" s="134" t="s">
        <v>161</v>
      </c>
      <c r="Q6" s="134"/>
    </row>
    <row r="7" spans="3:22" ht="15.75" x14ac:dyDescent="0.25">
      <c r="C7" s="156">
        <v>1957</v>
      </c>
      <c r="D7" s="157">
        <v>0.56999999999999995</v>
      </c>
      <c r="E7" s="156">
        <f>2019-C7</f>
        <v>62</v>
      </c>
      <c r="F7" s="156">
        <v>63</v>
      </c>
      <c r="G7" s="156"/>
      <c r="H7" s="156">
        <v>63</v>
      </c>
      <c r="I7" s="158">
        <v>18000</v>
      </c>
      <c r="J7" s="159" t="s">
        <v>23</v>
      </c>
      <c r="K7" s="156">
        <v>63</v>
      </c>
      <c r="L7" s="156">
        <v>1957</v>
      </c>
      <c r="M7" s="160">
        <f>+VLOOKUP(L7,condiciones[],7,FALSE)</f>
        <v>18000</v>
      </c>
      <c r="N7" s="156"/>
      <c r="O7" s="156"/>
      <c r="P7" s="156"/>
      <c r="Q7" s="156" t="s">
        <v>23</v>
      </c>
      <c r="R7" s="157">
        <v>0.53</v>
      </c>
      <c r="S7" s="156">
        <v>63</v>
      </c>
      <c r="T7" s="156"/>
      <c r="U7" s="156"/>
      <c r="V7" s="156"/>
    </row>
    <row r="8" spans="3:22" ht="15.75" x14ac:dyDescent="0.25">
      <c r="C8" s="156">
        <v>1958</v>
      </c>
      <c r="D8" s="157">
        <v>0.56999999999999995</v>
      </c>
      <c r="E8" s="156">
        <f t="shared" ref="E8:E10" si="0">2019-C8</f>
        <v>61</v>
      </c>
      <c r="F8" s="156">
        <v>63</v>
      </c>
      <c r="G8" s="156"/>
      <c r="H8" s="156">
        <v>63</v>
      </c>
      <c r="I8" s="158">
        <v>18000</v>
      </c>
      <c r="J8" s="159" t="s">
        <v>23</v>
      </c>
      <c r="K8" s="156">
        <v>63</v>
      </c>
      <c r="L8" s="156">
        <v>1958</v>
      </c>
      <c r="M8" s="160">
        <f>+VLOOKUP(L8,condiciones[],7,FALSE)</f>
        <v>18000</v>
      </c>
      <c r="N8" s="156"/>
      <c r="O8" s="156"/>
      <c r="P8" s="156"/>
      <c r="Q8" s="156" t="s">
        <v>23</v>
      </c>
      <c r="R8" s="157">
        <v>0.53</v>
      </c>
      <c r="S8" s="156">
        <v>63</v>
      </c>
      <c r="T8" s="156"/>
      <c r="U8" s="156"/>
      <c r="V8" s="156"/>
    </row>
    <row r="9" spans="3:22" ht="15.75" x14ac:dyDescent="0.25">
      <c r="C9" s="156">
        <v>1959</v>
      </c>
      <c r="D9" s="157">
        <v>0.56999999999999995</v>
      </c>
      <c r="E9" s="156">
        <f t="shared" si="0"/>
        <v>60</v>
      </c>
      <c r="F9" s="156">
        <v>63</v>
      </c>
      <c r="G9" s="156"/>
      <c r="H9" s="156">
        <v>63</v>
      </c>
      <c r="I9" s="158">
        <v>18000</v>
      </c>
      <c r="J9" s="159" t="s">
        <v>23</v>
      </c>
      <c r="K9" s="156">
        <v>63</v>
      </c>
      <c r="L9" s="156">
        <v>1959</v>
      </c>
      <c r="M9" s="160">
        <f>+VLOOKUP(L9,condiciones[],7,FALSE)</f>
        <v>18000</v>
      </c>
      <c r="N9" s="156"/>
      <c r="O9" s="156"/>
      <c r="P9" s="156"/>
      <c r="Q9" s="156" t="s">
        <v>23</v>
      </c>
      <c r="R9" s="157">
        <v>0.53</v>
      </c>
      <c r="S9" s="156">
        <v>63</v>
      </c>
      <c r="T9" s="156"/>
      <c r="U9" s="156"/>
      <c r="V9" s="156"/>
    </row>
    <row r="10" spans="3:22" ht="15.75" x14ac:dyDescent="0.25">
      <c r="C10" s="156">
        <v>1960</v>
      </c>
      <c r="D10" s="157">
        <v>0.56999999999999995</v>
      </c>
      <c r="E10" s="156">
        <f t="shared" si="0"/>
        <v>59</v>
      </c>
      <c r="F10" s="156">
        <v>63</v>
      </c>
      <c r="G10" s="156"/>
      <c r="H10" s="156">
        <v>63</v>
      </c>
      <c r="I10" s="158">
        <v>18000</v>
      </c>
      <c r="J10" s="159" t="s">
        <v>23</v>
      </c>
      <c r="K10" s="156">
        <v>63</v>
      </c>
      <c r="L10" s="156">
        <v>1960</v>
      </c>
      <c r="M10" s="160">
        <f>+VLOOKUP(L10,condiciones[],7,FALSE)</f>
        <v>18000</v>
      </c>
      <c r="N10" s="156"/>
      <c r="O10" s="156"/>
      <c r="P10" s="156"/>
      <c r="Q10" s="156" t="s">
        <v>23</v>
      </c>
      <c r="R10" s="157">
        <v>0.53</v>
      </c>
      <c r="S10" s="156">
        <v>63</v>
      </c>
      <c r="T10" s="156"/>
      <c r="U10" s="156"/>
      <c r="V10" s="156"/>
    </row>
    <row r="11" spans="3:22" ht="15.75" x14ac:dyDescent="0.25">
      <c r="C11" s="156">
        <v>1961</v>
      </c>
      <c r="D11" s="157">
        <v>0.56999999999999995</v>
      </c>
      <c r="E11" s="156">
        <f>2019-C11</f>
        <v>58</v>
      </c>
      <c r="F11" s="156">
        <v>63</v>
      </c>
      <c r="G11" s="156"/>
      <c r="H11" s="156">
        <v>63</v>
      </c>
      <c r="I11" s="158">
        <v>18000</v>
      </c>
      <c r="J11" s="159" t="s">
        <v>23</v>
      </c>
      <c r="K11" s="156">
        <v>63</v>
      </c>
      <c r="L11" s="156">
        <v>1961</v>
      </c>
      <c r="M11" s="160">
        <f>+VLOOKUP(L11,condiciones[],7,FALSE)</f>
        <v>18000</v>
      </c>
      <c r="N11" s="156"/>
      <c r="O11" s="156"/>
      <c r="P11" s="156"/>
      <c r="Q11" s="156" t="s">
        <v>23</v>
      </c>
      <c r="R11" s="157">
        <v>0.53</v>
      </c>
      <c r="S11" s="156">
        <v>63</v>
      </c>
      <c r="T11" s="156"/>
      <c r="U11" s="156"/>
      <c r="V11" s="156"/>
    </row>
    <row r="12" spans="3:22" ht="15.75" x14ac:dyDescent="0.25">
      <c r="C12" s="156">
        <v>1962</v>
      </c>
      <c r="D12" s="157">
        <v>0.56999999999999995</v>
      </c>
      <c r="E12" s="156">
        <f t="shared" ref="E12:E17" si="1">2019-C12</f>
        <v>57</v>
      </c>
      <c r="F12" s="156">
        <v>63</v>
      </c>
      <c r="G12" s="156"/>
      <c r="H12" s="156">
        <v>63</v>
      </c>
      <c r="I12" s="158">
        <v>18000</v>
      </c>
      <c r="J12" s="159" t="s">
        <v>23</v>
      </c>
      <c r="K12" s="156">
        <v>63</v>
      </c>
      <c r="L12" s="156">
        <v>1962</v>
      </c>
      <c r="M12" s="160">
        <f>+VLOOKUP(L12,condiciones[],7,FALSE)</f>
        <v>18000</v>
      </c>
      <c r="N12" s="156"/>
      <c r="O12" s="156"/>
      <c r="P12" s="156"/>
      <c r="Q12" s="156" t="s">
        <v>23</v>
      </c>
      <c r="R12" s="157">
        <v>0.53</v>
      </c>
      <c r="S12" s="156">
        <v>62</v>
      </c>
      <c r="T12" s="156"/>
      <c r="U12" s="156"/>
      <c r="V12" s="156"/>
    </row>
    <row r="13" spans="3:22" ht="15.75" x14ac:dyDescent="0.25">
      <c r="C13" s="156">
        <v>1963</v>
      </c>
      <c r="D13" s="157">
        <v>0.56999999999999995</v>
      </c>
      <c r="E13" s="156">
        <f t="shared" si="1"/>
        <v>56</v>
      </c>
      <c r="F13" s="156">
        <v>63</v>
      </c>
      <c r="G13" s="156"/>
      <c r="H13" s="156">
        <v>63</v>
      </c>
      <c r="I13" s="158">
        <v>23000</v>
      </c>
      <c r="J13" s="159" t="s">
        <v>23</v>
      </c>
      <c r="K13" s="156">
        <v>63</v>
      </c>
      <c r="L13" s="156">
        <v>1963</v>
      </c>
      <c r="M13" s="160">
        <f>+VLOOKUP(L13,condiciones[],7,FALSE)</f>
        <v>23000</v>
      </c>
      <c r="N13" s="156"/>
      <c r="O13" s="156"/>
      <c r="P13" s="156"/>
      <c r="Q13" s="156" t="s">
        <v>23</v>
      </c>
      <c r="R13" s="157">
        <v>0.51</v>
      </c>
      <c r="S13" s="156">
        <v>61</v>
      </c>
      <c r="T13" s="156"/>
      <c r="U13" s="156"/>
      <c r="V13" s="156"/>
    </row>
    <row r="14" spans="3:22" ht="15.75" x14ac:dyDescent="0.25">
      <c r="C14" s="156">
        <v>1964</v>
      </c>
      <c r="D14" s="157">
        <v>0.56999999999999995</v>
      </c>
      <c r="E14" s="156">
        <f t="shared" si="1"/>
        <v>55</v>
      </c>
      <c r="F14" s="156">
        <v>63</v>
      </c>
      <c r="G14" s="156"/>
      <c r="H14" s="156">
        <v>63</v>
      </c>
      <c r="I14" s="158">
        <v>28000</v>
      </c>
      <c r="J14" s="159" t="s">
        <v>23</v>
      </c>
      <c r="K14" s="156">
        <v>63</v>
      </c>
      <c r="L14" s="156">
        <v>1964</v>
      </c>
      <c r="M14" s="160">
        <f>+VLOOKUP(L14,condiciones[],7,FALSE)</f>
        <v>28000</v>
      </c>
      <c r="N14" s="156"/>
      <c r="O14" s="156"/>
      <c r="P14" s="156"/>
      <c r="Q14" s="156" t="s">
        <v>23</v>
      </c>
      <c r="R14" s="157">
        <v>0.5</v>
      </c>
      <c r="S14" s="156">
        <v>60</v>
      </c>
      <c r="T14" s="156"/>
      <c r="U14" s="156"/>
      <c r="V14" s="156"/>
    </row>
    <row r="15" spans="3:22" ht="15.75" x14ac:dyDescent="0.25">
      <c r="C15" s="156">
        <v>1965</v>
      </c>
      <c r="D15" s="157">
        <v>0.56999999999999995</v>
      </c>
      <c r="E15" s="156">
        <f t="shared" si="1"/>
        <v>54</v>
      </c>
      <c r="F15" s="156">
        <v>63</v>
      </c>
      <c r="G15" s="156"/>
      <c r="H15" s="156">
        <v>63</v>
      </c>
      <c r="I15" s="158">
        <v>28000</v>
      </c>
      <c r="J15" s="159" t="s">
        <v>23</v>
      </c>
      <c r="K15" s="156">
        <v>63</v>
      </c>
      <c r="L15" s="156">
        <v>1965</v>
      </c>
      <c r="M15" s="160">
        <f>+VLOOKUP(L15,condiciones[],7,FALSE)</f>
        <v>28000</v>
      </c>
      <c r="N15" s="156"/>
      <c r="O15" s="156"/>
      <c r="P15" s="156"/>
      <c r="Q15" s="156" t="s">
        <v>24</v>
      </c>
      <c r="R15" s="162">
        <v>0.5</v>
      </c>
      <c r="S15" s="161">
        <v>59</v>
      </c>
      <c r="T15" s="161"/>
      <c r="U15" s="161"/>
      <c r="V15" s="161"/>
    </row>
    <row r="16" spans="3:22" ht="15.75" x14ac:dyDescent="0.25">
      <c r="C16" s="161">
        <v>1966</v>
      </c>
      <c r="D16" s="162">
        <v>0.56999999999999995</v>
      </c>
      <c r="E16" s="161">
        <f t="shared" si="1"/>
        <v>53</v>
      </c>
      <c r="F16" s="161">
        <v>63</v>
      </c>
      <c r="G16" s="161">
        <v>8</v>
      </c>
      <c r="H16" s="161">
        <v>63</v>
      </c>
      <c r="I16" s="163">
        <v>38000</v>
      </c>
      <c r="J16" s="164" t="s">
        <v>24</v>
      </c>
      <c r="K16" s="161">
        <v>63</v>
      </c>
      <c r="L16" s="161">
        <v>1966</v>
      </c>
      <c r="M16" s="165">
        <f>+VLOOKUP(L16,condiciones[],7,FALSE)</f>
        <v>38000</v>
      </c>
      <c r="N16" s="161"/>
      <c r="O16" s="161"/>
      <c r="P16" s="161"/>
      <c r="Q16" s="161" t="s">
        <v>24</v>
      </c>
      <c r="R16" s="162">
        <v>0.5</v>
      </c>
      <c r="S16" s="161">
        <v>58</v>
      </c>
      <c r="T16" s="161"/>
      <c r="U16" s="161"/>
      <c r="V16" s="161"/>
    </row>
    <row r="17" spans="3:22" ht="15.75" x14ac:dyDescent="0.25">
      <c r="C17" s="161">
        <v>1967</v>
      </c>
      <c r="D17" s="162">
        <v>0.56999999999999995</v>
      </c>
      <c r="E17" s="161">
        <f t="shared" si="1"/>
        <v>52</v>
      </c>
      <c r="F17" s="161">
        <v>63</v>
      </c>
      <c r="G17" s="161">
        <v>8</v>
      </c>
      <c r="H17" s="161">
        <v>63</v>
      </c>
      <c r="I17" s="163">
        <v>38000</v>
      </c>
      <c r="J17" s="164" t="s">
        <v>24</v>
      </c>
      <c r="K17" s="161">
        <v>63</v>
      </c>
      <c r="L17" s="161">
        <v>1967</v>
      </c>
      <c r="M17" s="165">
        <f>+VLOOKUP(L17,condiciones[],7,FALSE)</f>
        <v>38000</v>
      </c>
      <c r="N17" s="161"/>
      <c r="O17" s="161"/>
      <c r="P17" s="161"/>
      <c r="Q17" s="161" t="s">
        <v>25</v>
      </c>
      <c r="R17" s="167">
        <v>0</v>
      </c>
      <c r="S17" s="166"/>
      <c r="T17" s="166">
        <v>720</v>
      </c>
      <c r="U17" s="166">
        <f>360*1.5</f>
        <v>540</v>
      </c>
      <c r="V17" s="166">
        <v>40</v>
      </c>
    </row>
    <row r="18" spans="3:22" ht="15.75" x14ac:dyDescent="0.25">
      <c r="C18" s="178">
        <v>1968</v>
      </c>
      <c r="D18" s="179">
        <v>0</v>
      </c>
      <c r="E18" s="178">
        <f t="shared" ref="E18" si="2">2019-C18</f>
        <v>51</v>
      </c>
      <c r="F18" s="178"/>
      <c r="G18" s="178"/>
      <c r="H18" s="178">
        <v>0</v>
      </c>
      <c r="I18" s="180">
        <v>0</v>
      </c>
      <c r="J18" s="181" t="s">
        <v>25</v>
      </c>
      <c r="K18" s="178">
        <v>0</v>
      </c>
      <c r="L18" s="178">
        <v>1967</v>
      </c>
      <c r="M18" s="182">
        <f>+VLOOKUP(L18,condiciones[],7,FALSE)</f>
        <v>38000</v>
      </c>
      <c r="N18" s="178">
        <f>36*30</f>
        <v>1080</v>
      </c>
      <c r="O18" s="178">
        <f>42*30</f>
        <v>1260</v>
      </c>
      <c r="P18" s="178">
        <v>45</v>
      </c>
      <c r="Q18" s="178" t="s">
        <v>25</v>
      </c>
      <c r="R18" s="167">
        <v>0</v>
      </c>
      <c r="S18" s="166"/>
      <c r="T18" s="166">
        <v>720</v>
      </c>
      <c r="U18" s="166">
        <f t="shared" ref="U18:U47" si="3">360*1.5</f>
        <v>540</v>
      </c>
      <c r="V18" s="166">
        <v>40</v>
      </c>
    </row>
    <row r="19" spans="3:22" ht="15.75" x14ac:dyDescent="0.25">
      <c r="C19" s="178">
        <v>1969</v>
      </c>
      <c r="D19" s="179">
        <v>0</v>
      </c>
      <c r="E19" s="178">
        <f t="shared" ref="E19" si="4">2019-C19</f>
        <v>50</v>
      </c>
      <c r="F19" s="178"/>
      <c r="G19" s="178"/>
      <c r="H19" s="178">
        <v>0</v>
      </c>
      <c r="I19" s="180">
        <v>0</v>
      </c>
      <c r="J19" s="181" t="s">
        <v>25</v>
      </c>
      <c r="K19" s="178">
        <v>0</v>
      </c>
      <c r="L19" s="178">
        <v>1967</v>
      </c>
      <c r="M19" s="182">
        <f>+VLOOKUP(L19,condiciones[],7,FALSE)</f>
        <v>38000</v>
      </c>
      <c r="N19" s="178">
        <f t="shared" ref="N19:N47" si="5">36*30</f>
        <v>1080</v>
      </c>
      <c r="O19" s="178">
        <f t="shared" ref="O19:O47" si="6">42*30</f>
        <v>1260</v>
      </c>
      <c r="P19" s="178">
        <v>45</v>
      </c>
      <c r="Q19" s="178" t="s">
        <v>25</v>
      </c>
      <c r="R19" s="167">
        <v>0</v>
      </c>
      <c r="S19" s="166"/>
      <c r="T19" s="166">
        <v>720</v>
      </c>
      <c r="U19" s="166">
        <f t="shared" si="3"/>
        <v>540</v>
      </c>
      <c r="V19" s="166">
        <v>40</v>
      </c>
    </row>
    <row r="20" spans="3:22" ht="15.75" x14ac:dyDescent="0.25">
      <c r="C20" s="178">
        <v>1970</v>
      </c>
      <c r="D20" s="179">
        <v>0</v>
      </c>
      <c r="E20" s="178">
        <f t="shared" ref="E20" si="7">2019-C20</f>
        <v>49</v>
      </c>
      <c r="F20" s="178"/>
      <c r="G20" s="178"/>
      <c r="H20" s="178">
        <v>0</v>
      </c>
      <c r="I20" s="180">
        <v>0</v>
      </c>
      <c r="J20" s="181" t="s">
        <v>25</v>
      </c>
      <c r="K20" s="178">
        <v>0</v>
      </c>
      <c r="L20" s="178">
        <v>1967</v>
      </c>
      <c r="M20" s="182">
        <f>+VLOOKUP(L20,condiciones[],7,FALSE)</f>
        <v>38000</v>
      </c>
      <c r="N20" s="178">
        <f t="shared" si="5"/>
        <v>1080</v>
      </c>
      <c r="O20" s="178">
        <f t="shared" si="6"/>
        <v>1260</v>
      </c>
      <c r="P20" s="178">
        <v>45</v>
      </c>
      <c r="Q20" s="178" t="s">
        <v>25</v>
      </c>
      <c r="R20" s="167">
        <v>0</v>
      </c>
      <c r="S20" s="166"/>
      <c r="T20" s="166">
        <v>720</v>
      </c>
      <c r="U20" s="166">
        <f t="shared" si="3"/>
        <v>540</v>
      </c>
      <c r="V20" s="166">
        <v>40</v>
      </c>
    </row>
    <row r="21" spans="3:22" ht="15.75" x14ac:dyDescent="0.25">
      <c r="C21" s="166">
        <v>1971</v>
      </c>
      <c r="D21" s="167">
        <v>0</v>
      </c>
      <c r="E21" s="166">
        <f t="shared" ref="E21:E22" si="8">2019-C21</f>
        <v>48</v>
      </c>
      <c r="F21" s="166"/>
      <c r="G21" s="168"/>
      <c r="H21" s="166">
        <v>0</v>
      </c>
      <c r="I21" s="169">
        <v>0</v>
      </c>
      <c r="J21" s="170" t="s">
        <v>25</v>
      </c>
      <c r="K21" s="166">
        <v>0</v>
      </c>
      <c r="L21" s="166">
        <v>1967</v>
      </c>
      <c r="M21" s="168">
        <f>+VLOOKUP(L21,condiciones[],7,FALSE)</f>
        <v>38000</v>
      </c>
      <c r="N21" s="166">
        <f t="shared" si="5"/>
        <v>1080</v>
      </c>
      <c r="O21" s="166">
        <f t="shared" si="6"/>
        <v>1260</v>
      </c>
      <c r="P21" s="166">
        <v>45</v>
      </c>
      <c r="Q21" s="166" t="s">
        <v>25</v>
      </c>
      <c r="R21" s="167">
        <v>0</v>
      </c>
      <c r="S21" s="166"/>
      <c r="T21" s="166">
        <v>720</v>
      </c>
      <c r="U21" s="166">
        <f t="shared" si="3"/>
        <v>540</v>
      </c>
      <c r="V21" s="166">
        <v>40</v>
      </c>
    </row>
    <row r="22" spans="3:22" ht="15.75" x14ac:dyDescent="0.25">
      <c r="C22" s="166">
        <v>1972</v>
      </c>
      <c r="D22" s="167">
        <v>0</v>
      </c>
      <c r="E22" s="166">
        <f t="shared" si="8"/>
        <v>47</v>
      </c>
      <c r="F22" s="166"/>
      <c r="G22" s="168"/>
      <c r="H22" s="166">
        <v>0</v>
      </c>
      <c r="I22" s="169">
        <v>0</v>
      </c>
      <c r="J22" s="170" t="s">
        <v>25</v>
      </c>
      <c r="K22" s="166">
        <v>0</v>
      </c>
      <c r="L22" s="166">
        <v>1967</v>
      </c>
      <c r="M22" s="168">
        <f>+VLOOKUP(L22,condiciones[],7,FALSE)</f>
        <v>38000</v>
      </c>
      <c r="N22" s="166">
        <f t="shared" si="5"/>
        <v>1080</v>
      </c>
      <c r="O22" s="166">
        <f t="shared" si="6"/>
        <v>1260</v>
      </c>
      <c r="P22" s="166">
        <v>45</v>
      </c>
      <c r="Q22" s="166" t="s">
        <v>25</v>
      </c>
      <c r="R22" s="167">
        <v>0</v>
      </c>
      <c r="S22" s="166"/>
      <c r="T22" s="166">
        <v>720</v>
      </c>
      <c r="U22" s="166">
        <f t="shared" si="3"/>
        <v>540</v>
      </c>
      <c r="V22" s="166">
        <v>40</v>
      </c>
    </row>
    <row r="23" spans="3:22" ht="15.75" x14ac:dyDescent="0.25">
      <c r="C23" s="166">
        <v>1973</v>
      </c>
      <c r="D23" s="167">
        <v>0</v>
      </c>
      <c r="E23" s="166">
        <f t="shared" ref="E23" si="9">2019-C23</f>
        <v>46</v>
      </c>
      <c r="F23" s="166"/>
      <c r="G23" s="168"/>
      <c r="H23" s="166">
        <v>0</v>
      </c>
      <c r="I23" s="169">
        <v>0</v>
      </c>
      <c r="J23" s="170" t="s">
        <v>25</v>
      </c>
      <c r="K23" s="166">
        <v>0</v>
      </c>
      <c r="L23" s="166">
        <v>1967</v>
      </c>
      <c r="M23" s="168">
        <f>+VLOOKUP(L23,condiciones[],7,FALSE)</f>
        <v>38000</v>
      </c>
      <c r="N23" s="166">
        <f t="shared" si="5"/>
        <v>1080</v>
      </c>
      <c r="O23" s="166">
        <f t="shared" si="6"/>
        <v>1260</v>
      </c>
      <c r="P23" s="166">
        <v>45</v>
      </c>
      <c r="Q23" s="166" t="s">
        <v>25</v>
      </c>
      <c r="R23" s="167">
        <v>0</v>
      </c>
      <c r="S23" s="166"/>
      <c r="T23" s="166">
        <v>720</v>
      </c>
      <c r="U23" s="166">
        <f t="shared" si="3"/>
        <v>540</v>
      </c>
      <c r="V23" s="166">
        <v>40</v>
      </c>
    </row>
    <row r="24" spans="3:22" ht="15.75" x14ac:dyDescent="0.25">
      <c r="C24" s="166">
        <v>1974</v>
      </c>
      <c r="D24" s="167">
        <v>0</v>
      </c>
      <c r="E24" s="166">
        <f t="shared" ref="E24:E27" si="10">2019-C24</f>
        <v>45</v>
      </c>
      <c r="F24" s="166"/>
      <c r="G24" s="168"/>
      <c r="H24" s="166">
        <v>0</v>
      </c>
      <c r="I24" s="169">
        <v>0</v>
      </c>
      <c r="J24" s="170" t="s">
        <v>25</v>
      </c>
      <c r="K24" s="166">
        <v>0</v>
      </c>
      <c r="L24" s="166">
        <v>1967</v>
      </c>
      <c r="M24" s="168">
        <f>+VLOOKUP(L24,condiciones[],7,FALSE)</f>
        <v>38000</v>
      </c>
      <c r="N24" s="166">
        <f t="shared" si="5"/>
        <v>1080</v>
      </c>
      <c r="O24" s="166">
        <f t="shared" si="6"/>
        <v>1260</v>
      </c>
      <c r="P24" s="166">
        <v>45</v>
      </c>
      <c r="Q24" s="166" t="s">
        <v>25</v>
      </c>
      <c r="R24" s="167">
        <v>0</v>
      </c>
      <c r="S24" s="166"/>
      <c r="T24" s="166">
        <v>720</v>
      </c>
      <c r="U24" s="166">
        <f t="shared" si="3"/>
        <v>540</v>
      </c>
      <c r="V24" s="166">
        <v>40</v>
      </c>
    </row>
    <row r="25" spans="3:22" ht="15.75" x14ac:dyDescent="0.25">
      <c r="C25" s="166">
        <v>1975</v>
      </c>
      <c r="D25" s="167">
        <v>0</v>
      </c>
      <c r="E25" s="166">
        <f t="shared" si="10"/>
        <v>44</v>
      </c>
      <c r="F25" s="166"/>
      <c r="G25" s="168"/>
      <c r="H25" s="166">
        <v>0</v>
      </c>
      <c r="I25" s="169">
        <v>0</v>
      </c>
      <c r="J25" s="170" t="s">
        <v>25</v>
      </c>
      <c r="K25" s="166">
        <v>0</v>
      </c>
      <c r="L25" s="166">
        <v>1967</v>
      </c>
      <c r="M25" s="168">
        <f>+VLOOKUP(L25,condiciones[],7,FALSE)</f>
        <v>38000</v>
      </c>
      <c r="N25" s="166">
        <f t="shared" si="5"/>
        <v>1080</v>
      </c>
      <c r="O25" s="166">
        <f t="shared" si="6"/>
        <v>1260</v>
      </c>
      <c r="P25" s="166">
        <v>45</v>
      </c>
      <c r="Q25" s="166" t="s">
        <v>25</v>
      </c>
      <c r="R25" s="167">
        <v>0</v>
      </c>
      <c r="S25" s="166"/>
      <c r="T25" s="166">
        <v>720</v>
      </c>
      <c r="U25" s="166">
        <f t="shared" si="3"/>
        <v>540</v>
      </c>
      <c r="V25" s="166">
        <v>40</v>
      </c>
    </row>
    <row r="26" spans="3:22" ht="15.75" x14ac:dyDescent="0.25">
      <c r="C26" s="166">
        <v>1976</v>
      </c>
      <c r="D26" s="167">
        <v>0</v>
      </c>
      <c r="E26" s="166">
        <f t="shared" si="10"/>
        <v>43</v>
      </c>
      <c r="F26" s="166"/>
      <c r="G26" s="168"/>
      <c r="H26" s="166">
        <v>0</v>
      </c>
      <c r="I26" s="169">
        <v>0</v>
      </c>
      <c r="J26" s="170" t="s">
        <v>25</v>
      </c>
      <c r="K26" s="166">
        <v>0</v>
      </c>
      <c r="L26" s="166">
        <v>1967</v>
      </c>
      <c r="M26" s="168">
        <f>+VLOOKUP(L26,condiciones[],7,FALSE)</f>
        <v>38000</v>
      </c>
      <c r="N26" s="166">
        <f t="shared" si="5"/>
        <v>1080</v>
      </c>
      <c r="O26" s="166">
        <f t="shared" si="6"/>
        <v>1260</v>
      </c>
      <c r="P26" s="166">
        <v>45</v>
      </c>
      <c r="Q26" s="166" t="s">
        <v>25</v>
      </c>
      <c r="R26" s="167">
        <v>0</v>
      </c>
      <c r="S26" s="166"/>
      <c r="T26" s="166">
        <v>720</v>
      </c>
      <c r="U26" s="166">
        <f t="shared" si="3"/>
        <v>540</v>
      </c>
      <c r="V26" s="166">
        <v>40</v>
      </c>
    </row>
    <row r="27" spans="3:22" ht="15.75" x14ac:dyDescent="0.25">
      <c r="C27" s="166">
        <v>1977</v>
      </c>
      <c r="D27" s="167">
        <v>0</v>
      </c>
      <c r="E27" s="166">
        <f t="shared" si="10"/>
        <v>42</v>
      </c>
      <c r="F27" s="166"/>
      <c r="G27" s="168"/>
      <c r="H27" s="166">
        <v>0</v>
      </c>
      <c r="I27" s="169">
        <v>0</v>
      </c>
      <c r="J27" s="170" t="s">
        <v>25</v>
      </c>
      <c r="K27" s="166">
        <v>0</v>
      </c>
      <c r="L27" s="166">
        <v>1967</v>
      </c>
      <c r="M27" s="168">
        <f>+VLOOKUP(L27,condiciones[],7,FALSE)</f>
        <v>38000</v>
      </c>
      <c r="N27" s="166">
        <f t="shared" si="5"/>
        <v>1080</v>
      </c>
      <c r="O27" s="166">
        <f t="shared" si="6"/>
        <v>1260</v>
      </c>
      <c r="P27" s="166">
        <v>45</v>
      </c>
      <c r="Q27" s="166" t="s">
        <v>25</v>
      </c>
      <c r="R27" s="167">
        <v>0</v>
      </c>
      <c r="S27" s="166"/>
      <c r="T27" s="166">
        <v>720</v>
      </c>
      <c r="U27" s="166">
        <f t="shared" si="3"/>
        <v>540</v>
      </c>
      <c r="V27" s="166">
        <v>40</v>
      </c>
    </row>
    <row r="28" spans="3:22" ht="15.75" x14ac:dyDescent="0.25">
      <c r="C28" s="166">
        <v>1978</v>
      </c>
      <c r="D28" s="167">
        <v>0</v>
      </c>
      <c r="E28" s="166">
        <f t="shared" ref="E28:E35" si="11">2019-C28</f>
        <v>41</v>
      </c>
      <c r="F28" s="166"/>
      <c r="G28" s="168"/>
      <c r="H28" s="166">
        <v>0</v>
      </c>
      <c r="I28" s="169">
        <v>0</v>
      </c>
      <c r="J28" s="170" t="s">
        <v>25</v>
      </c>
      <c r="K28" s="166">
        <v>0</v>
      </c>
      <c r="L28" s="166">
        <v>1967</v>
      </c>
      <c r="M28" s="168">
        <f>+VLOOKUP(L28,condiciones[],7,FALSE)</f>
        <v>38000</v>
      </c>
      <c r="N28" s="166">
        <f t="shared" si="5"/>
        <v>1080</v>
      </c>
      <c r="O28" s="166">
        <f t="shared" si="6"/>
        <v>1260</v>
      </c>
      <c r="P28" s="166">
        <v>45</v>
      </c>
      <c r="Q28" s="166" t="s">
        <v>25</v>
      </c>
      <c r="R28" s="167">
        <v>0</v>
      </c>
      <c r="S28" s="166"/>
      <c r="T28" s="166">
        <v>720</v>
      </c>
      <c r="U28" s="166">
        <f t="shared" si="3"/>
        <v>540</v>
      </c>
      <c r="V28" s="166">
        <v>40</v>
      </c>
    </row>
    <row r="29" spans="3:22" ht="15.75" x14ac:dyDescent="0.25">
      <c r="C29" s="166">
        <v>1979</v>
      </c>
      <c r="D29" s="167">
        <v>0</v>
      </c>
      <c r="E29" s="166">
        <f t="shared" si="11"/>
        <v>40</v>
      </c>
      <c r="F29" s="166"/>
      <c r="G29" s="168"/>
      <c r="H29" s="166">
        <v>0</v>
      </c>
      <c r="I29" s="169">
        <v>0</v>
      </c>
      <c r="J29" s="170" t="s">
        <v>25</v>
      </c>
      <c r="K29" s="166">
        <v>0</v>
      </c>
      <c r="L29" s="166">
        <v>1967</v>
      </c>
      <c r="M29" s="168">
        <f>+VLOOKUP(L29,condiciones[],7,FALSE)</f>
        <v>38000</v>
      </c>
      <c r="N29" s="166">
        <f t="shared" si="5"/>
        <v>1080</v>
      </c>
      <c r="O29" s="166">
        <f t="shared" si="6"/>
        <v>1260</v>
      </c>
      <c r="P29" s="166">
        <v>45</v>
      </c>
      <c r="Q29" s="166" t="s">
        <v>25</v>
      </c>
      <c r="R29" s="167">
        <v>0</v>
      </c>
      <c r="S29" s="166"/>
      <c r="T29" s="166">
        <v>720</v>
      </c>
      <c r="U29" s="166">
        <f t="shared" si="3"/>
        <v>540</v>
      </c>
      <c r="V29" s="166">
        <v>40</v>
      </c>
    </row>
    <row r="30" spans="3:22" ht="15.75" x14ac:dyDescent="0.25">
      <c r="C30" s="166">
        <v>1980</v>
      </c>
      <c r="D30" s="167">
        <v>0</v>
      </c>
      <c r="E30" s="166">
        <f t="shared" si="11"/>
        <v>39</v>
      </c>
      <c r="F30" s="166"/>
      <c r="G30" s="168"/>
      <c r="H30" s="166">
        <v>0</v>
      </c>
      <c r="I30" s="169">
        <v>0</v>
      </c>
      <c r="J30" s="170" t="s">
        <v>25</v>
      </c>
      <c r="K30" s="166">
        <v>0</v>
      </c>
      <c r="L30" s="166">
        <v>1967</v>
      </c>
      <c r="M30" s="168">
        <f>+VLOOKUP(L30,condiciones[],7,FALSE)</f>
        <v>38000</v>
      </c>
      <c r="N30" s="166">
        <f t="shared" si="5"/>
        <v>1080</v>
      </c>
      <c r="O30" s="166">
        <f t="shared" si="6"/>
        <v>1260</v>
      </c>
      <c r="P30" s="166">
        <v>45</v>
      </c>
      <c r="Q30" s="166" t="s">
        <v>25</v>
      </c>
      <c r="R30" s="167">
        <v>0</v>
      </c>
      <c r="S30" s="166"/>
      <c r="T30" s="166">
        <v>720</v>
      </c>
      <c r="U30" s="166">
        <f t="shared" si="3"/>
        <v>540</v>
      </c>
      <c r="V30" s="166">
        <v>40</v>
      </c>
    </row>
    <row r="31" spans="3:22" ht="15.75" x14ac:dyDescent="0.25">
      <c r="C31" s="166">
        <v>1981</v>
      </c>
      <c r="D31" s="167">
        <v>0</v>
      </c>
      <c r="E31" s="166">
        <f t="shared" si="11"/>
        <v>38</v>
      </c>
      <c r="F31" s="166"/>
      <c r="G31" s="168"/>
      <c r="H31" s="166">
        <v>0</v>
      </c>
      <c r="I31" s="169">
        <v>0</v>
      </c>
      <c r="J31" s="170" t="s">
        <v>25</v>
      </c>
      <c r="K31" s="166">
        <v>0</v>
      </c>
      <c r="L31" s="166">
        <v>1967</v>
      </c>
      <c r="M31" s="168">
        <f>+VLOOKUP(L31,condiciones[],7,FALSE)</f>
        <v>38000</v>
      </c>
      <c r="N31" s="166">
        <f t="shared" si="5"/>
        <v>1080</v>
      </c>
      <c r="O31" s="166">
        <f t="shared" si="6"/>
        <v>1260</v>
      </c>
      <c r="P31" s="166">
        <v>45</v>
      </c>
      <c r="Q31" s="166" t="s">
        <v>25</v>
      </c>
      <c r="R31" s="167">
        <v>0</v>
      </c>
      <c r="S31" s="166"/>
      <c r="T31" s="166">
        <v>720</v>
      </c>
      <c r="U31" s="166">
        <f t="shared" si="3"/>
        <v>540</v>
      </c>
      <c r="V31" s="166">
        <v>40</v>
      </c>
    </row>
    <row r="32" spans="3:22" ht="15.75" x14ac:dyDescent="0.25">
      <c r="C32" s="166">
        <v>1982</v>
      </c>
      <c r="D32" s="167">
        <v>0</v>
      </c>
      <c r="E32" s="166">
        <f t="shared" si="11"/>
        <v>37</v>
      </c>
      <c r="F32" s="166"/>
      <c r="G32" s="168"/>
      <c r="H32" s="166">
        <v>0</v>
      </c>
      <c r="I32" s="169">
        <v>0</v>
      </c>
      <c r="J32" s="170" t="s">
        <v>25</v>
      </c>
      <c r="K32" s="166">
        <v>0</v>
      </c>
      <c r="L32" s="166">
        <v>1967</v>
      </c>
      <c r="M32" s="168">
        <f>+VLOOKUP(L32,condiciones[],7,FALSE)</f>
        <v>38000</v>
      </c>
      <c r="N32" s="166">
        <f t="shared" si="5"/>
        <v>1080</v>
      </c>
      <c r="O32" s="166">
        <f t="shared" si="6"/>
        <v>1260</v>
      </c>
      <c r="P32" s="166">
        <v>45</v>
      </c>
      <c r="Q32" s="166" t="s">
        <v>25</v>
      </c>
      <c r="R32" s="167">
        <v>0</v>
      </c>
      <c r="S32" s="166"/>
      <c r="T32" s="166">
        <v>720</v>
      </c>
      <c r="U32" s="166">
        <f t="shared" si="3"/>
        <v>540</v>
      </c>
      <c r="V32" s="166">
        <v>40</v>
      </c>
    </row>
    <row r="33" spans="3:22" ht="15.75" x14ac:dyDescent="0.25">
      <c r="C33" s="166">
        <v>1983</v>
      </c>
      <c r="D33" s="167">
        <v>0</v>
      </c>
      <c r="E33" s="166">
        <f t="shared" si="11"/>
        <v>36</v>
      </c>
      <c r="F33" s="166"/>
      <c r="G33" s="168"/>
      <c r="H33" s="166">
        <v>0</v>
      </c>
      <c r="I33" s="169">
        <v>0</v>
      </c>
      <c r="J33" s="170" t="s">
        <v>25</v>
      </c>
      <c r="K33" s="166">
        <v>0</v>
      </c>
      <c r="L33" s="166">
        <v>1967</v>
      </c>
      <c r="M33" s="168">
        <f>+VLOOKUP(L33,condiciones[],7,FALSE)</f>
        <v>38000</v>
      </c>
      <c r="N33" s="166">
        <f t="shared" si="5"/>
        <v>1080</v>
      </c>
      <c r="O33" s="166">
        <f t="shared" si="6"/>
        <v>1260</v>
      </c>
      <c r="P33" s="166">
        <v>45</v>
      </c>
      <c r="Q33" s="166" t="s">
        <v>25</v>
      </c>
      <c r="R33" s="167">
        <v>0</v>
      </c>
      <c r="S33" s="166"/>
      <c r="T33" s="166">
        <v>720</v>
      </c>
      <c r="U33" s="166">
        <f t="shared" si="3"/>
        <v>540</v>
      </c>
      <c r="V33" s="166">
        <v>40</v>
      </c>
    </row>
    <row r="34" spans="3:22" ht="15.75" x14ac:dyDescent="0.25">
      <c r="C34" s="166">
        <v>1984</v>
      </c>
      <c r="D34" s="167">
        <v>0</v>
      </c>
      <c r="E34" s="166">
        <f t="shared" si="11"/>
        <v>35</v>
      </c>
      <c r="F34" s="166"/>
      <c r="G34" s="168"/>
      <c r="H34" s="166">
        <v>0</v>
      </c>
      <c r="I34" s="169">
        <v>0</v>
      </c>
      <c r="J34" s="170" t="s">
        <v>25</v>
      </c>
      <c r="K34" s="166">
        <v>0</v>
      </c>
      <c r="L34" s="166">
        <v>1967</v>
      </c>
      <c r="M34" s="168">
        <f>+VLOOKUP(L34,condiciones[],7,FALSE)</f>
        <v>38000</v>
      </c>
      <c r="N34" s="166">
        <f t="shared" si="5"/>
        <v>1080</v>
      </c>
      <c r="O34" s="166">
        <f t="shared" si="6"/>
        <v>1260</v>
      </c>
      <c r="P34" s="166">
        <v>45</v>
      </c>
      <c r="Q34" s="166" t="s">
        <v>25</v>
      </c>
      <c r="R34" s="167">
        <v>0</v>
      </c>
      <c r="S34" s="166"/>
      <c r="T34" s="166">
        <v>720</v>
      </c>
      <c r="U34" s="166">
        <f t="shared" si="3"/>
        <v>540</v>
      </c>
      <c r="V34" s="166">
        <v>40</v>
      </c>
    </row>
    <row r="35" spans="3:22" ht="15.75" x14ac:dyDescent="0.25">
      <c r="C35" s="166">
        <v>1985</v>
      </c>
      <c r="D35" s="167">
        <v>0</v>
      </c>
      <c r="E35" s="166">
        <f t="shared" si="11"/>
        <v>34</v>
      </c>
      <c r="F35" s="166"/>
      <c r="G35" s="168"/>
      <c r="H35" s="166">
        <v>0</v>
      </c>
      <c r="I35" s="169">
        <v>0</v>
      </c>
      <c r="J35" s="170" t="s">
        <v>25</v>
      </c>
      <c r="K35" s="166">
        <v>0</v>
      </c>
      <c r="L35" s="166">
        <v>1967</v>
      </c>
      <c r="M35" s="168">
        <f>+VLOOKUP(L35,condiciones[],7,FALSE)</f>
        <v>38000</v>
      </c>
      <c r="N35" s="166">
        <f t="shared" si="5"/>
        <v>1080</v>
      </c>
      <c r="O35" s="166">
        <f t="shared" si="6"/>
        <v>1260</v>
      </c>
      <c r="P35" s="166">
        <v>45</v>
      </c>
      <c r="Q35" s="166" t="s">
        <v>25</v>
      </c>
      <c r="R35" s="167">
        <v>0</v>
      </c>
      <c r="S35" s="166"/>
      <c r="T35" s="166">
        <v>720</v>
      </c>
      <c r="U35" s="166">
        <f t="shared" si="3"/>
        <v>540</v>
      </c>
      <c r="V35" s="166">
        <v>40</v>
      </c>
    </row>
    <row r="36" spans="3:22" ht="15.75" x14ac:dyDescent="0.25">
      <c r="C36" s="166">
        <v>1986</v>
      </c>
      <c r="D36" s="167">
        <v>0</v>
      </c>
      <c r="E36" s="166">
        <f t="shared" ref="E36:E42" si="12">2019-C36</f>
        <v>33</v>
      </c>
      <c r="F36" s="166"/>
      <c r="G36" s="168"/>
      <c r="H36" s="166">
        <v>0</v>
      </c>
      <c r="I36" s="169">
        <v>0</v>
      </c>
      <c r="J36" s="170" t="s">
        <v>25</v>
      </c>
      <c r="K36" s="166">
        <v>0</v>
      </c>
      <c r="L36" s="166">
        <v>1967</v>
      </c>
      <c r="M36" s="168">
        <f>+VLOOKUP(L36,condiciones[],7,FALSE)</f>
        <v>38000</v>
      </c>
      <c r="N36" s="166">
        <f t="shared" si="5"/>
        <v>1080</v>
      </c>
      <c r="O36" s="166">
        <f t="shared" si="6"/>
        <v>1260</v>
      </c>
      <c r="P36" s="166">
        <v>45</v>
      </c>
      <c r="Q36" s="166" t="s">
        <v>25</v>
      </c>
      <c r="R36" s="167">
        <v>0</v>
      </c>
      <c r="S36" s="166"/>
      <c r="T36" s="166">
        <v>720</v>
      </c>
      <c r="U36" s="166">
        <f t="shared" si="3"/>
        <v>540</v>
      </c>
      <c r="V36" s="166">
        <v>40</v>
      </c>
    </row>
    <row r="37" spans="3:22" ht="15.75" x14ac:dyDescent="0.25">
      <c r="C37" s="166">
        <v>1987</v>
      </c>
      <c r="D37" s="167">
        <v>0</v>
      </c>
      <c r="E37" s="166">
        <f t="shared" si="12"/>
        <v>32</v>
      </c>
      <c r="F37" s="166"/>
      <c r="G37" s="168"/>
      <c r="H37" s="166">
        <v>0</v>
      </c>
      <c r="I37" s="169">
        <v>0</v>
      </c>
      <c r="J37" s="170" t="s">
        <v>25</v>
      </c>
      <c r="K37" s="166">
        <v>0</v>
      </c>
      <c r="L37" s="166">
        <v>1967</v>
      </c>
      <c r="M37" s="168">
        <f>+VLOOKUP(L37,condiciones[],7,FALSE)</f>
        <v>38000</v>
      </c>
      <c r="N37" s="166">
        <f t="shared" si="5"/>
        <v>1080</v>
      </c>
      <c r="O37" s="166">
        <f t="shared" si="6"/>
        <v>1260</v>
      </c>
      <c r="P37" s="166">
        <v>45</v>
      </c>
      <c r="Q37" s="166" t="s">
        <v>25</v>
      </c>
      <c r="R37" s="167">
        <v>0</v>
      </c>
      <c r="S37" s="166"/>
      <c r="T37" s="166">
        <v>720</v>
      </c>
      <c r="U37" s="166">
        <f t="shared" si="3"/>
        <v>540</v>
      </c>
      <c r="V37" s="166">
        <v>40</v>
      </c>
    </row>
    <row r="38" spans="3:22" ht="15.75" x14ac:dyDescent="0.25">
      <c r="C38" s="166">
        <v>1988</v>
      </c>
      <c r="D38" s="167">
        <v>0</v>
      </c>
      <c r="E38" s="166">
        <f t="shared" si="12"/>
        <v>31</v>
      </c>
      <c r="F38" s="166"/>
      <c r="G38" s="168"/>
      <c r="H38" s="166">
        <v>0</v>
      </c>
      <c r="I38" s="169">
        <v>0</v>
      </c>
      <c r="J38" s="170" t="s">
        <v>25</v>
      </c>
      <c r="K38" s="166">
        <v>0</v>
      </c>
      <c r="L38" s="166">
        <v>1967</v>
      </c>
      <c r="M38" s="168">
        <f>+VLOOKUP(L38,condiciones[],7,FALSE)</f>
        <v>38000</v>
      </c>
      <c r="N38" s="166">
        <f t="shared" si="5"/>
        <v>1080</v>
      </c>
      <c r="O38" s="166">
        <f t="shared" si="6"/>
        <v>1260</v>
      </c>
      <c r="P38" s="166">
        <v>45</v>
      </c>
      <c r="Q38" s="166" t="s">
        <v>25</v>
      </c>
      <c r="R38" s="167">
        <v>0</v>
      </c>
      <c r="S38" s="166"/>
      <c r="T38" s="166">
        <v>720</v>
      </c>
      <c r="U38" s="166">
        <f t="shared" si="3"/>
        <v>540</v>
      </c>
      <c r="V38" s="166">
        <v>40</v>
      </c>
    </row>
    <row r="39" spans="3:22" ht="15.75" x14ac:dyDescent="0.25">
      <c r="C39" s="166">
        <v>1989</v>
      </c>
      <c r="D39" s="167">
        <v>0</v>
      </c>
      <c r="E39" s="166">
        <f t="shared" si="12"/>
        <v>30</v>
      </c>
      <c r="F39" s="166"/>
      <c r="G39" s="168"/>
      <c r="H39" s="166">
        <v>0</v>
      </c>
      <c r="I39" s="169">
        <v>0</v>
      </c>
      <c r="J39" s="170" t="s">
        <v>25</v>
      </c>
      <c r="K39" s="166">
        <v>0</v>
      </c>
      <c r="L39" s="166">
        <v>1967</v>
      </c>
      <c r="M39" s="168">
        <f>+VLOOKUP(L39,condiciones[],7,FALSE)</f>
        <v>38000</v>
      </c>
      <c r="N39" s="166">
        <f t="shared" si="5"/>
        <v>1080</v>
      </c>
      <c r="O39" s="166">
        <f t="shared" si="6"/>
        <v>1260</v>
      </c>
      <c r="P39" s="166">
        <v>45</v>
      </c>
      <c r="Q39" s="166" t="s">
        <v>25</v>
      </c>
      <c r="R39" s="167">
        <v>0</v>
      </c>
      <c r="S39" s="166"/>
      <c r="T39" s="166">
        <v>720</v>
      </c>
      <c r="U39" s="166">
        <f t="shared" si="3"/>
        <v>540</v>
      </c>
      <c r="V39" s="166">
        <v>40</v>
      </c>
    </row>
    <row r="40" spans="3:22" ht="15.75" x14ac:dyDescent="0.25">
      <c r="C40" s="166">
        <v>1990</v>
      </c>
      <c r="D40" s="167">
        <v>0</v>
      </c>
      <c r="E40" s="166">
        <f t="shared" si="12"/>
        <v>29</v>
      </c>
      <c r="F40" s="166"/>
      <c r="G40" s="168"/>
      <c r="H40" s="166">
        <v>0</v>
      </c>
      <c r="I40" s="169">
        <v>0</v>
      </c>
      <c r="J40" s="170" t="s">
        <v>25</v>
      </c>
      <c r="K40" s="166">
        <v>0</v>
      </c>
      <c r="L40" s="166">
        <v>1967</v>
      </c>
      <c r="M40" s="168">
        <f>+VLOOKUP(L40,condiciones[],7,FALSE)</f>
        <v>38000</v>
      </c>
      <c r="N40" s="166">
        <f t="shared" si="5"/>
        <v>1080</v>
      </c>
      <c r="O40" s="166">
        <f t="shared" si="6"/>
        <v>1260</v>
      </c>
      <c r="P40" s="166">
        <v>45</v>
      </c>
      <c r="Q40" s="166" t="s">
        <v>25</v>
      </c>
      <c r="R40" s="167">
        <v>0</v>
      </c>
      <c r="S40" s="166"/>
      <c r="T40" s="166">
        <v>720</v>
      </c>
      <c r="U40" s="166">
        <f t="shared" si="3"/>
        <v>540</v>
      </c>
      <c r="V40" s="166">
        <v>40</v>
      </c>
    </row>
    <row r="41" spans="3:22" ht="15.75" x14ac:dyDescent="0.25">
      <c r="C41" s="166">
        <v>1991</v>
      </c>
      <c r="D41" s="167">
        <v>0</v>
      </c>
      <c r="E41" s="166">
        <f t="shared" si="12"/>
        <v>28</v>
      </c>
      <c r="F41" s="166"/>
      <c r="G41" s="168"/>
      <c r="H41" s="166">
        <v>0</v>
      </c>
      <c r="I41" s="169">
        <v>0</v>
      </c>
      <c r="J41" s="170" t="s">
        <v>25</v>
      </c>
      <c r="K41" s="166">
        <v>0</v>
      </c>
      <c r="L41" s="166">
        <v>1967</v>
      </c>
      <c r="M41" s="168">
        <f>+VLOOKUP(L41,condiciones[],7,FALSE)</f>
        <v>38000</v>
      </c>
      <c r="N41" s="166">
        <f t="shared" si="5"/>
        <v>1080</v>
      </c>
      <c r="O41" s="166">
        <f t="shared" si="6"/>
        <v>1260</v>
      </c>
      <c r="P41" s="166">
        <v>45</v>
      </c>
      <c r="Q41" s="166" t="s">
        <v>25</v>
      </c>
      <c r="R41" s="167">
        <v>0</v>
      </c>
      <c r="S41" s="166"/>
      <c r="T41" s="166">
        <v>720</v>
      </c>
      <c r="U41" s="166">
        <f t="shared" si="3"/>
        <v>540</v>
      </c>
      <c r="V41" s="166">
        <v>40</v>
      </c>
    </row>
    <row r="42" spans="3:22" ht="15.75" x14ac:dyDescent="0.25">
      <c r="C42" s="166">
        <v>1992</v>
      </c>
      <c r="D42" s="167">
        <v>0</v>
      </c>
      <c r="E42" s="166">
        <f t="shared" si="12"/>
        <v>27</v>
      </c>
      <c r="F42" s="166"/>
      <c r="G42" s="168"/>
      <c r="H42" s="166">
        <v>0</v>
      </c>
      <c r="I42" s="169">
        <v>0</v>
      </c>
      <c r="J42" s="170" t="s">
        <v>25</v>
      </c>
      <c r="K42" s="166">
        <v>0</v>
      </c>
      <c r="L42" s="166">
        <v>1967</v>
      </c>
      <c r="M42" s="168">
        <f>+VLOOKUP(L42,condiciones[],7,FALSE)</f>
        <v>38000</v>
      </c>
      <c r="N42" s="166">
        <f t="shared" si="5"/>
        <v>1080</v>
      </c>
      <c r="O42" s="166">
        <f t="shared" si="6"/>
        <v>1260</v>
      </c>
      <c r="P42" s="166">
        <v>45</v>
      </c>
      <c r="Q42" s="166" t="s">
        <v>25</v>
      </c>
      <c r="R42" s="167">
        <v>0</v>
      </c>
      <c r="S42" s="166"/>
      <c r="T42" s="166">
        <v>720</v>
      </c>
      <c r="U42" s="166">
        <f t="shared" si="3"/>
        <v>540</v>
      </c>
      <c r="V42" s="166">
        <v>40</v>
      </c>
    </row>
    <row r="43" spans="3:22" ht="15.75" x14ac:dyDescent="0.25">
      <c r="C43" s="166">
        <v>1993</v>
      </c>
      <c r="D43" s="167">
        <v>0</v>
      </c>
      <c r="E43" s="166">
        <f t="shared" ref="E43:E47" si="13">2019-C43</f>
        <v>26</v>
      </c>
      <c r="F43" s="166"/>
      <c r="G43" s="168"/>
      <c r="H43" s="166">
        <v>0</v>
      </c>
      <c r="I43" s="169">
        <v>0</v>
      </c>
      <c r="J43" s="170" t="s">
        <v>25</v>
      </c>
      <c r="K43" s="166">
        <v>0</v>
      </c>
      <c r="L43" s="166">
        <v>1967</v>
      </c>
      <c r="M43" s="168">
        <f>+VLOOKUP(L43,condiciones[],7,FALSE)</f>
        <v>38000</v>
      </c>
      <c r="N43" s="166">
        <f t="shared" si="5"/>
        <v>1080</v>
      </c>
      <c r="O43" s="166">
        <f t="shared" si="6"/>
        <v>1260</v>
      </c>
      <c r="P43" s="166">
        <v>46</v>
      </c>
      <c r="Q43" s="166" t="s">
        <v>25</v>
      </c>
      <c r="R43" s="167">
        <v>0</v>
      </c>
      <c r="S43" s="166"/>
      <c r="T43" s="166">
        <v>720</v>
      </c>
      <c r="U43" s="166">
        <f t="shared" si="3"/>
        <v>540</v>
      </c>
      <c r="V43" s="166">
        <v>40</v>
      </c>
    </row>
    <row r="44" spans="3:22" ht="15.75" x14ac:dyDescent="0.25">
      <c r="C44" s="166">
        <v>1994</v>
      </c>
      <c r="D44" s="167">
        <v>0</v>
      </c>
      <c r="E44" s="166">
        <f t="shared" si="13"/>
        <v>25</v>
      </c>
      <c r="F44" s="166"/>
      <c r="G44" s="168"/>
      <c r="H44" s="166">
        <v>0</v>
      </c>
      <c r="I44" s="169">
        <v>0</v>
      </c>
      <c r="J44" s="170" t="s">
        <v>25</v>
      </c>
      <c r="K44" s="166">
        <v>0</v>
      </c>
      <c r="L44" s="166">
        <v>1967</v>
      </c>
      <c r="M44" s="168">
        <f>+VLOOKUP(L44,condiciones[],7,FALSE)</f>
        <v>38000</v>
      </c>
      <c r="N44" s="166">
        <f t="shared" si="5"/>
        <v>1080</v>
      </c>
      <c r="O44" s="166">
        <f t="shared" si="6"/>
        <v>1260</v>
      </c>
      <c r="P44" s="166">
        <v>47</v>
      </c>
      <c r="Q44" s="166" t="s">
        <v>25</v>
      </c>
      <c r="R44" s="167">
        <v>0</v>
      </c>
      <c r="S44" s="166"/>
      <c r="T44" s="166">
        <v>720</v>
      </c>
      <c r="U44" s="166">
        <f t="shared" si="3"/>
        <v>540</v>
      </c>
      <c r="V44" s="166">
        <v>40</v>
      </c>
    </row>
    <row r="45" spans="3:22" ht="15.75" x14ac:dyDescent="0.25">
      <c r="C45" s="166">
        <v>1995</v>
      </c>
      <c r="D45" s="167">
        <v>0</v>
      </c>
      <c r="E45" s="166">
        <f t="shared" si="13"/>
        <v>24</v>
      </c>
      <c r="F45" s="166"/>
      <c r="G45" s="168"/>
      <c r="H45" s="166">
        <v>0</v>
      </c>
      <c r="I45" s="169">
        <v>0</v>
      </c>
      <c r="J45" s="170" t="s">
        <v>25</v>
      </c>
      <c r="K45" s="166">
        <v>0</v>
      </c>
      <c r="L45" s="166">
        <v>1967</v>
      </c>
      <c r="M45" s="168">
        <f>+VLOOKUP(L45,condiciones[],7,FALSE)</f>
        <v>38000</v>
      </c>
      <c r="N45" s="166">
        <f t="shared" si="5"/>
        <v>1080</v>
      </c>
      <c r="O45" s="166">
        <f t="shared" si="6"/>
        <v>1260</v>
      </c>
      <c r="P45" s="166">
        <v>48</v>
      </c>
      <c r="Q45" s="166" t="s">
        <v>25</v>
      </c>
      <c r="R45" s="167">
        <v>0</v>
      </c>
      <c r="S45" s="166"/>
      <c r="T45" s="166">
        <v>720</v>
      </c>
      <c r="U45" s="166">
        <f t="shared" si="3"/>
        <v>540</v>
      </c>
      <c r="V45" s="166">
        <v>40</v>
      </c>
    </row>
    <row r="46" spans="3:22" ht="15.75" x14ac:dyDescent="0.25">
      <c r="C46" s="166">
        <v>1996</v>
      </c>
      <c r="D46" s="167">
        <v>0</v>
      </c>
      <c r="E46" s="166">
        <f t="shared" si="13"/>
        <v>23</v>
      </c>
      <c r="F46" s="166"/>
      <c r="G46" s="168"/>
      <c r="H46" s="166">
        <v>0</v>
      </c>
      <c r="I46" s="169">
        <v>0</v>
      </c>
      <c r="J46" s="170" t="s">
        <v>25</v>
      </c>
      <c r="K46" s="166">
        <v>0</v>
      </c>
      <c r="L46" s="166">
        <v>1967</v>
      </c>
      <c r="M46" s="168">
        <f>+VLOOKUP(L46,condiciones[],7,FALSE)</f>
        <v>38000</v>
      </c>
      <c r="N46" s="166">
        <f t="shared" si="5"/>
        <v>1080</v>
      </c>
      <c r="O46" s="166">
        <f t="shared" si="6"/>
        <v>1260</v>
      </c>
      <c r="P46" s="166">
        <v>49</v>
      </c>
      <c r="Q46" s="166" t="s">
        <v>25</v>
      </c>
      <c r="R46" s="167">
        <v>0</v>
      </c>
      <c r="S46" s="166"/>
      <c r="T46" s="166">
        <v>720</v>
      </c>
      <c r="U46" s="166">
        <f t="shared" si="3"/>
        <v>540</v>
      </c>
      <c r="V46" s="166">
        <v>40</v>
      </c>
    </row>
    <row r="47" spans="3:22" ht="15.75" x14ac:dyDescent="0.25">
      <c r="C47" s="166">
        <v>1997</v>
      </c>
      <c r="D47" s="167">
        <v>0</v>
      </c>
      <c r="E47" s="166">
        <f t="shared" si="13"/>
        <v>22</v>
      </c>
      <c r="F47" s="166"/>
      <c r="G47" s="168"/>
      <c r="H47" s="166">
        <v>0</v>
      </c>
      <c r="I47" s="169">
        <v>0</v>
      </c>
      <c r="J47" s="170" t="s">
        <v>25</v>
      </c>
      <c r="K47" s="166">
        <v>0</v>
      </c>
      <c r="L47" s="166">
        <v>1967</v>
      </c>
      <c r="M47" s="168">
        <f>+VLOOKUP(L47,condiciones[],7,FALSE)</f>
        <v>38000</v>
      </c>
      <c r="N47" s="166">
        <f t="shared" si="5"/>
        <v>1080</v>
      </c>
      <c r="O47" s="166">
        <f t="shared" si="6"/>
        <v>1260</v>
      </c>
      <c r="P47" s="166">
        <v>50</v>
      </c>
      <c r="Q47" s="166" t="s">
        <v>25</v>
      </c>
      <c r="R47" s="167">
        <v>0</v>
      </c>
      <c r="S47" s="166"/>
      <c r="T47" s="166">
        <v>720</v>
      </c>
      <c r="U47" s="166">
        <f t="shared" si="3"/>
        <v>540</v>
      </c>
      <c r="V47" s="166">
        <v>40</v>
      </c>
    </row>
    <row r="49" spans="2:15" x14ac:dyDescent="0.2">
      <c r="B49" s="6" t="s">
        <v>20</v>
      </c>
      <c r="C49" s="6" t="s">
        <v>21</v>
      </c>
      <c r="F49" s="138" t="s">
        <v>105</v>
      </c>
      <c r="G49" s="6" t="s">
        <v>26</v>
      </c>
      <c r="H49" s="6" t="s">
        <v>27</v>
      </c>
      <c r="I49" s="6" t="s">
        <v>29</v>
      </c>
      <c r="J49" s="139" t="s">
        <v>31</v>
      </c>
      <c r="K49" s="6" t="s">
        <v>188</v>
      </c>
    </row>
    <row r="50" spans="2:15" x14ac:dyDescent="0.2">
      <c r="B50" s="9" t="s">
        <v>8</v>
      </c>
      <c r="C50" s="10">
        <v>972.02</v>
      </c>
      <c r="F50" s="138" t="s">
        <v>23</v>
      </c>
      <c r="G50" s="6" t="s">
        <v>266</v>
      </c>
      <c r="H50" s="6" t="s">
        <v>270</v>
      </c>
      <c r="I50" s="6" t="s">
        <v>30</v>
      </c>
      <c r="J50" s="139" t="s">
        <v>30</v>
      </c>
      <c r="K50" s="6" t="s">
        <v>267</v>
      </c>
    </row>
    <row r="51" spans="2:15" x14ac:dyDescent="0.2">
      <c r="B51" s="9" t="s">
        <v>9</v>
      </c>
      <c r="C51" s="10">
        <v>867.35</v>
      </c>
      <c r="F51" s="138" t="s">
        <v>24</v>
      </c>
      <c r="G51" s="6" t="s">
        <v>268</v>
      </c>
      <c r="H51" s="6" t="s">
        <v>270</v>
      </c>
      <c r="I51" s="6" t="s">
        <v>28</v>
      </c>
      <c r="J51" s="139" t="s">
        <v>271</v>
      </c>
      <c r="K51" s="6" t="s">
        <v>267</v>
      </c>
    </row>
    <row r="52" spans="2:15" x14ac:dyDescent="0.2">
      <c r="B52" s="9" t="s">
        <v>10</v>
      </c>
      <c r="C52" s="10">
        <v>804.63</v>
      </c>
      <c r="F52" s="138" t="s">
        <v>25</v>
      </c>
      <c r="G52" s="6" t="s">
        <v>269</v>
      </c>
      <c r="H52" s="6" t="s">
        <v>28</v>
      </c>
      <c r="I52" s="6" t="s">
        <v>28</v>
      </c>
      <c r="J52" s="139" t="s">
        <v>271</v>
      </c>
    </row>
    <row r="53" spans="2:15" x14ac:dyDescent="0.2">
      <c r="B53" s="9" t="s">
        <v>11</v>
      </c>
      <c r="C53" s="10">
        <v>777.69</v>
      </c>
    </row>
    <row r="54" spans="2:15" x14ac:dyDescent="0.2">
      <c r="B54" s="9" t="s">
        <v>12</v>
      </c>
      <c r="C54" s="10">
        <v>762.84</v>
      </c>
      <c r="F54" s="136" t="s">
        <v>140</v>
      </c>
    </row>
    <row r="55" spans="2:15" x14ac:dyDescent="0.2">
      <c r="B55" s="9" t="s">
        <v>13</v>
      </c>
      <c r="C55" s="10">
        <v>747.94</v>
      </c>
      <c r="F55" s="137">
        <v>0</v>
      </c>
    </row>
    <row r="56" spans="2:15" x14ac:dyDescent="0.2">
      <c r="B56" s="9" t="s">
        <v>14</v>
      </c>
      <c r="C56" s="10">
        <v>728.1</v>
      </c>
    </row>
    <row r="57" spans="2:15" x14ac:dyDescent="0.2">
      <c r="B57" s="9" t="s">
        <v>15</v>
      </c>
      <c r="C57" s="10">
        <v>714.08</v>
      </c>
    </row>
    <row r="58" spans="2:15" x14ac:dyDescent="0.2">
      <c r="B58" s="9" t="s">
        <v>16</v>
      </c>
      <c r="C58" s="10">
        <v>692.93</v>
      </c>
    </row>
    <row r="59" spans="2:15" x14ac:dyDescent="0.2">
      <c r="B59" s="9" t="s">
        <v>17</v>
      </c>
      <c r="C59" s="10">
        <v>674.98</v>
      </c>
    </row>
    <row r="60" spans="2:15" x14ac:dyDescent="0.2">
      <c r="B60" s="9" t="s">
        <v>18</v>
      </c>
      <c r="C60" s="10">
        <v>635.47</v>
      </c>
    </row>
    <row r="61" spans="2:15" x14ac:dyDescent="0.2">
      <c r="B61" s="9" t="s">
        <v>19</v>
      </c>
      <c r="C61" s="10">
        <v>588.21</v>
      </c>
    </row>
    <row r="62" spans="2:15" x14ac:dyDescent="0.2">
      <c r="N62" s="6" t="s">
        <v>255</v>
      </c>
      <c r="O62" s="6">
        <v>1</v>
      </c>
    </row>
    <row r="63" spans="2:15" x14ac:dyDescent="0.2">
      <c r="F63" s="6" t="s">
        <v>38</v>
      </c>
      <c r="G63" s="6" t="s">
        <v>44</v>
      </c>
      <c r="H63" s="6" t="s">
        <v>58</v>
      </c>
      <c r="N63" s="6" t="s">
        <v>256</v>
      </c>
      <c r="O63" s="6">
        <v>2</v>
      </c>
    </row>
    <row r="64" spans="2:15" x14ac:dyDescent="0.2">
      <c r="F64" s="6">
        <v>0</v>
      </c>
      <c r="G64" s="6">
        <v>1098.0899999999999</v>
      </c>
      <c r="H64" s="6">
        <f>+G64*12</f>
        <v>13177.079999999998</v>
      </c>
      <c r="I64" s="6">
        <f t="shared" ref="I64:I65" si="14">+G64*0.047</f>
        <v>51.610229999999994</v>
      </c>
      <c r="N64" s="6" t="s">
        <v>257</v>
      </c>
      <c r="O64" s="6">
        <v>3</v>
      </c>
    </row>
    <row r="65" spans="2:15" x14ac:dyDescent="0.2">
      <c r="F65" s="6">
        <v>1</v>
      </c>
      <c r="G65" s="6">
        <v>1254.96</v>
      </c>
      <c r="H65" s="6">
        <f>+G65*12</f>
        <v>15059.52</v>
      </c>
      <c r="I65" s="6">
        <f t="shared" si="14"/>
        <v>58.98312</v>
      </c>
      <c r="N65" s="6" t="s">
        <v>200</v>
      </c>
      <c r="O65" s="6">
        <v>4</v>
      </c>
    </row>
    <row r="66" spans="2:15" x14ac:dyDescent="0.2">
      <c r="F66" s="6">
        <v>2</v>
      </c>
      <c r="G66" s="6">
        <v>1411.83</v>
      </c>
      <c r="H66" s="6">
        <f>+G66*12</f>
        <v>16941.96</v>
      </c>
      <c r="I66" s="6">
        <f>192.7/G66</f>
        <v>0.13648952069300127</v>
      </c>
      <c r="N66" s="6" t="s">
        <v>258</v>
      </c>
      <c r="O66" s="6">
        <v>5</v>
      </c>
    </row>
    <row r="67" spans="2:15" x14ac:dyDescent="0.2">
      <c r="N67" s="6" t="s">
        <v>259</v>
      </c>
      <c r="O67" s="6">
        <v>6</v>
      </c>
    </row>
    <row r="68" spans="2:15" x14ac:dyDescent="0.2">
      <c r="G68" s="6" t="s">
        <v>115</v>
      </c>
      <c r="H68" s="6" t="s">
        <v>58</v>
      </c>
      <c r="N68" s="6" t="s">
        <v>260</v>
      </c>
      <c r="O68" s="6">
        <v>7</v>
      </c>
    </row>
    <row r="69" spans="2:15" x14ac:dyDescent="0.2">
      <c r="F69" s="6" t="s">
        <v>39</v>
      </c>
      <c r="G69" s="6">
        <v>4070.1</v>
      </c>
      <c r="H69" s="6">
        <f>+baseMax*12</f>
        <v>48841.2</v>
      </c>
      <c r="I69" s="6">
        <f>+baseMax*0.047</f>
        <v>191.29470000000001</v>
      </c>
      <c r="N69" s="6" t="s">
        <v>261</v>
      </c>
      <c r="O69" s="6">
        <v>8</v>
      </c>
    </row>
    <row r="70" spans="2:15" x14ac:dyDescent="0.2">
      <c r="F70" s="6" t="s">
        <v>5</v>
      </c>
      <c r="G70" s="6">
        <f>+CosteConvenio</f>
        <v>0.26601999999999998</v>
      </c>
      <c r="H70" s="6">
        <f>+H69*G70</f>
        <v>12992.736023999998</v>
      </c>
      <c r="N70" s="6" t="s">
        <v>263</v>
      </c>
      <c r="O70" s="6">
        <v>9</v>
      </c>
    </row>
    <row r="71" spans="2:15" x14ac:dyDescent="0.2">
      <c r="F71" s="6" t="s">
        <v>40</v>
      </c>
      <c r="G71" s="6">
        <v>6.3500000000000001E-2</v>
      </c>
      <c r="N71" s="6" t="s">
        <v>201</v>
      </c>
      <c r="O71" s="6">
        <v>10</v>
      </c>
    </row>
    <row r="72" spans="2:15" x14ac:dyDescent="0.2">
      <c r="G72" s="6">
        <f>+baseMax*cuota</f>
        <v>258.45134999999999</v>
      </c>
      <c r="H72" s="6">
        <f>+G72*12</f>
        <v>3101.4161999999997</v>
      </c>
      <c r="N72" s="6" t="s">
        <v>262</v>
      </c>
      <c r="O72" s="6">
        <v>11</v>
      </c>
    </row>
    <row r="73" spans="2:15" x14ac:dyDescent="0.2">
      <c r="N73" s="6" t="s">
        <v>264</v>
      </c>
      <c r="O73" s="6">
        <v>12</v>
      </c>
    </row>
    <row r="74" spans="2:15" x14ac:dyDescent="0.2">
      <c r="B74" s="6" t="s">
        <v>37</v>
      </c>
      <c r="F74" s="6" t="s">
        <v>41</v>
      </c>
    </row>
    <row r="75" spans="2:15" x14ac:dyDescent="0.2">
      <c r="B75" s="127">
        <f>+C83+C84</f>
        <v>0.28299999999999997</v>
      </c>
      <c r="F75" s="6" t="s">
        <v>38</v>
      </c>
    </row>
    <row r="76" spans="2:15" x14ac:dyDescent="0.2">
      <c r="B76" s="6">
        <v>0.94</v>
      </c>
      <c r="F76" s="6">
        <v>0</v>
      </c>
      <c r="G76" s="6">
        <v>0</v>
      </c>
      <c r="H76" s="6">
        <v>1110</v>
      </c>
    </row>
    <row r="77" spans="2:15" x14ac:dyDescent="0.2">
      <c r="B77" s="6">
        <f>+B76*B75</f>
        <v>0.26601999999999998</v>
      </c>
      <c r="F77" s="6">
        <v>1</v>
      </c>
      <c r="G77" s="6">
        <v>1200</v>
      </c>
      <c r="H77" s="6">
        <v>1350</v>
      </c>
    </row>
    <row r="78" spans="2:15" x14ac:dyDescent="0.2">
      <c r="F78" s="6">
        <v>2</v>
      </c>
      <c r="G78" s="6">
        <v>2550</v>
      </c>
      <c r="H78" s="6">
        <v>1620</v>
      </c>
    </row>
    <row r="79" spans="2:15" x14ac:dyDescent="0.2">
      <c r="F79" s="6">
        <v>3</v>
      </c>
      <c r="G79" s="6">
        <v>4550</v>
      </c>
      <c r="H79" s="6">
        <v>2020</v>
      </c>
    </row>
    <row r="80" spans="2:15" x14ac:dyDescent="0.2">
      <c r="F80" s="6">
        <v>4</v>
      </c>
      <c r="G80" s="6">
        <v>6800</v>
      </c>
      <c r="H80" s="6">
        <v>2470</v>
      </c>
    </row>
    <row r="83" spans="2:40" x14ac:dyDescent="0.2">
      <c r="B83" s="6" t="s">
        <v>114</v>
      </c>
      <c r="C83" s="126">
        <v>0.23599999999999999</v>
      </c>
      <c r="F83" s="6" t="s">
        <v>42</v>
      </c>
      <c r="H83" s="6">
        <v>5550</v>
      </c>
    </row>
    <row r="84" spans="2:40" x14ac:dyDescent="0.2">
      <c r="B84" s="6" t="s">
        <v>40</v>
      </c>
      <c r="C84" s="126">
        <v>4.7E-2</v>
      </c>
      <c r="F84" s="6" t="s">
        <v>43</v>
      </c>
      <c r="H84" s="6">
        <v>2000</v>
      </c>
      <c r="AN84" s="6" t="s">
        <v>106</v>
      </c>
    </row>
    <row r="85" spans="2:40" x14ac:dyDescent="0.2">
      <c r="B85" s="127">
        <f>+C85+C84+C86</f>
        <v>6.3500000000000001E-2</v>
      </c>
      <c r="C85" s="126">
        <v>1.55E-2</v>
      </c>
    </row>
    <row r="86" spans="2:40" x14ac:dyDescent="0.2">
      <c r="C86" s="126">
        <v>1E-3</v>
      </c>
    </row>
    <row r="92" spans="2:40" x14ac:dyDescent="0.2">
      <c r="F92" s="6" t="s">
        <v>107</v>
      </c>
    </row>
    <row r="93" spans="2:40" x14ac:dyDescent="0.2">
      <c r="F93" s="125" t="s">
        <v>108</v>
      </c>
      <c r="G93" s="6" t="s">
        <v>109</v>
      </c>
      <c r="H93" s="6" t="s">
        <v>110</v>
      </c>
      <c r="I93" s="6" t="s">
        <v>111</v>
      </c>
      <c r="J93" s="6" t="s">
        <v>112</v>
      </c>
      <c r="K93" s="6" t="s">
        <v>113</v>
      </c>
    </row>
    <row r="94" spans="2:40" x14ac:dyDescent="0.2">
      <c r="F94" s="6">
        <v>360</v>
      </c>
      <c r="G94" s="6">
        <f>+F94/30</f>
        <v>12</v>
      </c>
      <c r="H94" s="6">
        <f>+G94/12</f>
        <v>1</v>
      </c>
      <c r="I94" s="6">
        <v>120</v>
      </c>
      <c r="J94" s="6">
        <f>+I94/30</f>
        <v>4</v>
      </c>
      <c r="K94" s="6">
        <f>+J94/12</f>
        <v>0.33333333333333331</v>
      </c>
    </row>
    <row r="95" spans="2:40" x14ac:dyDescent="0.2">
      <c r="F95" s="6">
        <v>540</v>
      </c>
      <c r="G95" s="6">
        <f t="shared" ref="G95:G104" si="15">+F95/30</f>
        <v>18</v>
      </c>
      <c r="H95" s="6">
        <f t="shared" ref="H95:H104" si="16">+G95/12</f>
        <v>1.5</v>
      </c>
      <c r="I95" s="6">
        <v>180</v>
      </c>
      <c r="J95" s="6">
        <f t="shared" ref="J95:J104" si="17">+I95/30</f>
        <v>6</v>
      </c>
      <c r="K95" s="6">
        <f t="shared" ref="K95:K104" si="18">+J95/12</f>
        <v>0.5</v>
      </c>
    </row>
    <row r="96" spans="2:40" x14ac:dyDescent="0.2">
      <c r="F96" s="6">
        <v>720</v>
      </c>
      <c r="G96" s="6">
        <f t="shared" si="15"/>
        <v>24</v>
      </c>
      <c r="H96" s="6">
        <f t="shared" si="16"/>
        <v>2</v>
      </c>
      <c r="I96" s="6">
        <v>240</v>
      </c>
      <c r="J96" s="6">
        <f t="shared" si="17"/>
        <v>8</v>
      </c>
      <c r="K96" s="6">
        <f t="shared" si="18"/>
        <v>0.66666666666666663</v>
      </c>
    </row>
    <row r="97" spans="6:12" x14ac:dyDescent="0.2">
      <c r="F97" s="6">
        <v>900</v>
      </c>
      <c r="G97" s="6">
        <f t="shared" si="15"/>
        <v>30</v>
      </c>
      <c r="H97" s="6">
        <f t="shared" si="16"/>
        <v>2.5</v>
      </c>
      <c r="I97" s="6">
        <v>300</v>
      </c>
      <c r="J97" s="6">
        <f t="shared" si="17"/>
        <v>10</v>
      </c>
      <c r="K97" s="6">
        <f t="shared" si="18"/>
        <v>0.83333333333333337</v>
      </c>
    </row>
    <row r="98" spans="6:12" x14ac:dyDescent="0.2">
      <c r="F98" s="6">
        <v>1080</v>
      </c>
      <c r="G98" s="6">
        <f t="shared" si="15"/>
        <v>36</v>
      </c>
      <c r="H98" s="6">
        <f t="shared" si="16"/>
        <v>3</v>
      </c>
      <c r="I98" s="6">
        <v>360</v>
      </c>
      <c r="J98" s="6">
        <f t="shared" si="17"/>
        <v>12</v>
      </c>
      <c r="K98" s="6">
        <f t="shared" si="18"/>
        <v>1</v>
      </c>
    </row>
    <row r="99" spans="6:12" x14ac:dyDescent="0.2">
      <c r="F99" s="6">
        <v>1260</v>
      </c>
      <c r="G99" s="6">
        <f t="shared" si="15"/>
        <v>42</v>
      </c>
      <c r="H99" s="6">
        <f t="shared" si="16"/>
        <v>3.5</v>
      </c>
      <c r="I99" s="6">
        <v>420</v>
      </c>
      <c r="J99" s="6">
        <f t="shared" si="17"/>
        <v>14</v>
      </c>
      <c r="K99" s="6">
        <f t="shared" si="18"/>
        <v>1.1666666666666667</v>
      </c>
    </row>
    <row r="100" spans="6:12" x14ac:dyDescent="0.2">
      <c r="F100" s="6">
        <v>1440</v>
      </c>
      <c r="G100" s="6">
        <f t="shared" si="15"/>
        <v>48</v>
      </c>
      <c r="H100" s="6">
        <f t="shared" si="16"/>
        <v>4</v>
      </c>
      <c r="I100" s="6">
        <v>480</v>
      </c>
      <c r="J100" s="6">
        <f t="shared" si="17"/>
        <v>16</v>
      </c>
      <c r="K100" s="6">
        <f t="shared" si="18"/>
        <v>1.3333333333333333</v>
      </c>
    </row>
    <row r="101" spans="6:12" x14ac:dyDescent="0.2">
      <c r="F101" s="6">
        <v>1620</v>
      </c>
      <c r="G101" s="6">
        <f t="shared" si="15"/>
        <v>54</v>
      </c>
      <c r="H101" s="6">
        <f t="shared" si="16"/>
        <v>4.5</v>
      </c>
      <c r="I101" s="6">
        <v>540</v>
      </c>
      <c r="J101" s="6">
        <f t="shared" si="17"/>
        <v>18</v>
      </c>
      <c r="K101" s="6">
        <f t="shared" si="18"/>
        <v>1.5</v>
      </c>
    </row>
    <row r="102" spans="6:12" x14ac:dyDescent="0.2">
      <c r="F102" s="6">
        <v>1800</v>
      </c>
      <c r="G102" s="6">
        <f t="shared" si="15"/>
        <v>60</v>
      </c>
      <c r="H102" s="6">
        <f t="shared" si="16"/>
        <v>5</v>
      </c>
      <c r="I102" s="6">
        <v>600</v>
      </c>
      <c r="J102" s="6">
        <f t="shared" si="17"/>
        <v>20</v>
      </c>
      <c r="K102" s="6">
        <f t="shared" si="18"/>
        <v>1.6666666666666667</v>
      </c>
    </row>
    <row r="103" spans="6:12" x14ac:dyDescent="0.2">
      <c r="F103" s="6">
        <v>1980</v>
      </c>
      <c r="G103" s="6">
        <f t="shared" si="15"/>
        <v>66</v>
      </c>
      <c r="H103" s="6">
        <f t="shared" si="16"/>
        <v>5.5</v>
      </c>
      <c r="I103" s="6">
        <v>660</v>
      </c>
      <c r="J103" s="6">
        <f t="shared" si="17"/>
        <v>22</v>
      </c>
      <c r="K103" s="6">
        <f t="shared" si="18"/>
        <v>1.8333333333333333</v>
      </c>
    </row>
    <row r="104" spans="6:12" x14ac:dyDescent="0.2">
      <c r="F104" s="6">
        <v>2160</v>
      </c>
      <c r="G104" s="6">
        <f t="shared" si="15"/>
        <v>72</v>
      </c>
      <c r="H104" s="6">
        <f t="shared" si="16"/>
        <v>6</v>
      </c>
      <c r="I104" s="6">
        <v>720</v>
      </c>
      <c r="J104" s="6">
        <f t="shared" si="17"/>
        <v>24</v>
      </c>
      <c r="K104" s="6">
        <f t="shared" si="18"/>
        <v>2</v>
      </c>
    </row>
    <row r="111" spans="6:12" x14ac:dyDescent="0.2">
      <c r="F111" t="s">
        <v>116</v>
      </c>
      <c r="G111"/>
      <c r="H111"/>
      <c r="I111"/>
      <c r="J111" s="358" t="s">
        <v>117</v>
      </c>
      <c r="K111" s="358"/>
      <c r="L111" s="358"/>
    </row>
    <row r="112" spans="6:12" x14ac:dyDescent="0.2">
      <c r="F112"/>
      <c r="G112"/>
      <c r="H112"/>
      <c r="I112"/>
      <c r="J112" s="128">
        <v>0</v>
      </c>
      <c r="K112" s="128">
        <v>1</v>
      </c>
      <c r="L112" s="128" t="s">
        <v>118</v>
      </c>
    </row>
    <row r="113" spans="6:12" x14ac:dyDescent="0.2">
      <c r="F113" s="359" t="s">
        <v>119</v>
      </c>
      <c r="G113" s="359"/>
      <c r="H113" s="359"/>
      <c r="I113" s="128">
        <v>1</v>
      </c>
      <c r="J113" s="129">
        <v>0</v>
      </c>
      <c r="K113" s="129">
        <v>15947</v>
      </c>
      <c r="L113" s="129">
        <v>17100</v>
      </c>
    </row>
    <row r="114" spans="6:12" x14ac:dyDescent="0.2">
      <c r="F114" s="359" t="s">
        <v>120</v>
      </c>
      <c r="G114" s="359"/>
      <c r="H114" s="359"/>
      <c r="I114" s="128">
        <v>2</v>
      </c>
      <c r="J114" s="129">
        <v>15456</v>
      </c>
      <c r="K114" s="129">
        <v>16481</v>
      </c>
      <c r="L114" s="129">
        <v>17634</v>
      </c>
    </row>
    <row r="115" spans="6:12" x14ac:dyDescent="0.2">
      <c r="F115" s="359" t="s">
        <v>121</v>
      </c>
      <c r="G115" s="359"/>
      <c r="H115" s="359"/>
      <c r="I115" s="128">
        <v>3</v>
      </c>
      <c r="J115" s="129">
        <v>14000</v>
      </c>
      <c r="K115" s="129">
        <v>14516</v>
      </c>
      <c r="L115" s="129">
        <v>15093</v>
      </c>
    </row>
    <row r="119" spans="6:12" x14ac:dyDescent="0.2">
      <c r="F119" s="6" t="s">
        <v>125</v>
      </c>
    </row>
    <row r="120" spans="6:12" x14ac:dyDescent="0.2">
      <c r="F120" t="s">
        <v>3</v>
      </c>
      <c r="G120" t="s">
        <v>122</v>
      </c>
      <c r="H120" t="s">
        <v>121</v>
      </c>
      <c r="I120" t="s">
        <v>123</v>
      </c>
    </row>
    <row r="121" spans="6:12" x14ac:dyDescent="0.2">
      <c r="F121">
        <v>0</v>
      </c>
      <c r="G121">
        <v>0</v>
      </c>
      <c r="H121">
        <v>12450</v>
      </c>
      <c r="I121">
        <v>0.19</v>
      </c>
    </row>
    <row r="122" spans="6:12" x14ac:dyDescent="0.2">
      <c r="F122">
        <v>12450</v>
      </c>
      <c r="G122">
        <v>2365.5</v>
      </c>
      <c r="H122">
        <v>7750</v>
      </c>
      <c r="I122">
        <v>0.24</v>
      </c>
    </row>
    <row r="123" spans="6:12" x14ac:dyDescent="0.2">
      <c r="F123">
        <v>20200</v>
      </c>
      <c r="G123">
        <v>4225.5</v>
      </c>
      <c r="H123">
        <v>15000</v>
      </c>
      <c r="I123">
        <v>0.3</v>
      </c>
      <c r="L123" s="6">
        <f>1400*12</f>
        <v>16800</v>
      </c>
    </row>
    <row r="124" spans="6:12" x14ac:dyDescent="0.2">
      <c r="F124">
        <v>35200</v>
      </c>
      <c r="G124">
        <v>8725.5</v>
      </c>
      <c r="H124">
        <v>24800</v>
      </c>
      <c r="I124">
        <v>0.37</v>
      </c>
    </row>
    <row r="125" spans="6:12" x14ac:dyDescent="0.2">
      <c r="F125">
        <v>60000</v>
      </c>
      <c r="G125">
        <v>17901.5</v>
      </c>
      <c r="H125" t="s">
        <v>124</v>
      </c>
      <c r="I125">
        <v>0.45</v>
      </c>
    </row>
    <row r="127" spans="6:12" x14ac:dyDescent="0.2">
      <c r="F127" s="6">
        <f>+G143</f>
        <v>18000</v>
      </c>
      <c r="G127" s="6">
        <f>+VLOOKUP(F127,F121:I125,1,TRUE)</f>
        <v>12450</v>
      </c>
      <c r="H127" s="6">
        <f>+VLOOKUP(F127,F121:I125,4,TRUE)</f>
        <v>0.24</v>
      </c>
    </row>
    <row r="128" spans="6:12" x14ac:dyDescent="0.2">
      <c r="G128" s="6">
        <f>+VLOOKUP(F127,F121:I125,2,TRUE)</f>
        <v>2365.5</v>
      </c>
      <c r="H128" s="6">
        <f>+(F127-G127)*H127</f>
        <v>1332</v>
      </c>
      <c r="I128" s="6">
        <f>+G128+H128</f>
        <v>3697.5</v>
      </c>
    </row>
    <row r="130" spans="6:12" x14ac:dyDescent="0.2">
      <c r="F130" s="6">
        <f>+G147</f>
        <v>5550</v>
      </c>
      <c r="G130" s="6">
        <f>+VLOOKUP(F130,F121:I125,1,TRUE)</f>
        <v>0</v>
      </c>
      <c r="H130" s="6">
        <f>+VLOOKUP(F130,F121:I125,4,TRUE)</f>
        <v>0.19</v>
      </c>
    </row>
    <row r="131" spans="6:12" x14ac:dyDescent="0.2">
      <c r="G131" s="6">
        <f>+VLOOKUP(F130,F121:I125,2,TRUE)</f>
        <v>0</v>
      </c>
      <c r="H131" s="6">
        <f>+(F130-G130)*H130</f>
        <v>1054.5</v>
      </c>
      <c r="I131" s="6">
        <f>+G131+H131</f>
        <v>1054.5</v>
      </c>
      <c r="K131" s="6">
        <f>+I128-I131</f>
        <v>2643</v>
      </c>
      <c r="L131" s="6">
        <f>+K131/G138</f>
        <v>0.13214999999999999</v>
      </c>
    </row>
    <row r="138" spans="6:12" x14ac:dyDescent="0.2">
      <c r="F138" s="6" t="s">
        <v>126</v>
      </c>
      <c r="G138" s="6">
        <v>20000</v>
      </c>
      <c r="H138" s="6">
        <f>+G138-J115</f>
        <v>6000</v>
      </c>
      <c r="I138" s="6">
        <f>+H138*0.43</f>
        <v>2580</v>
      </c>
    </row>
    <row r="139" spans="6:12" x14ac:dyDescent="0.2">
      <c r="F139" s="6" t="s">
        <v>127</v>
      </c>
    </row>
    <row r="140" spans="6:12" x14ac:dyDescent="0.2">
      <c r="F140" s="6" t="s">
        <v>128</v>
      </c>
      <c r="G140" s="6">
        <v>-2000</v>
      </c>
    </row>
    <row r="141" spans="6:12" x14ac:dyDescent="0.2">
      <c r="F141" s="6" t="s">
        <v>129</v>
      </c>
    </row>
    <row r="142" spans="6:12" x14ac:dyDescent="0.2">
      <c r="F142" s="6" t="s">
        <v>130</v>
      </c>
      <c r="G142" s="130"/>
      <c r="I142" s="6">
        <v>0</v>
      </c>
      <c r="J142" s="6">
        <v>5565</v>
      </c>
    </row>
    <row r="143" spans="6:12" x14ac:dyDescent="0.2">
      <c r="G143" s="6">
        <f>SUM(G138:G142)</f>
        <v>18000</v>
      </c>
      <c r="I143" s="6">
        <v>13115.01</v>
      </c>
      <c r="J143" s="6">
        <v>1.5</v>
      </c>
    </row>
    <row r="144" spans="6:12" x14ac:dyDescent="0.2">
      <c r="I144" s="6">
        <v>16825</v>
      </c>
      <c r="J144" s="6">
        <v>0</v>
      </c>
    </row>
    <row r="147" spans="6:7" x14ac:dyDescent="0.2">
      <c r="F147" s="6" t="s">
        <v>131</v>
      </c>
      <c r="G147" s="6">
        <v>5550</v>
      </c>
    </row>
    <row r="148" spans="6:7" x14ac:dyDescent="0.2">
      <c r="F148" s="6" t="s">
        <v>38</v>
      </c>
      <c r="G148" s="130"/>
    </row>
    <row r="149" spans="6:7" x14ac:dyDescent="0.2">
      <c r="G149" s="6">
        <f>SUM(G147:G148)</f>
        <v>5550</v>
      </c>
    </row>
  </sheetData>
  <mergeCells count="4">
    <mergeCell ref="J111:L111"/>
    <mergeCell ref="F113:H113"/>
    <mergeCell ref="F114:H114"/>
    <mergeCell ref="F115:H115"/>
  </mergeCells>
  <pageMargins left="0.7" right="0.7" top="0.75" bottom="0.75" header="0.3" footer="0.3"/>
  <pageSetup paperSize="9"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49</vt:i4>
      </vt:variant>
    </vt:vector>
  </HeadingPairs>
  <TitlesOfParts>
    <vt:vector size="55" baseType="lpstr">
      <vt:lpstr>menú</vt:lpstr>
      <vt:lpstr>ERE 2019</vt:lpstr>
      <vt:lpstr>Nòmina exemple</vt:lpstr>
      <vt:lpstr>simulación</vt:lpstr>
      <vt:lpstr>pensiones</vt:lpstr>
      <vt:lpstr>variables</vt:lpstr>
      <vt:lpstr>añofinrenta</vt:lpstr>
      <vt:lpstr>AñosJub</vt:lpstr>
      <vt:lpstr>antigüedad</vt:lpstr>
      <vt:lpstr>'ERE 2019'!Área_de_impresión</vt:lpstr>
      <vt:lpstr>simulación!Área_de_impresión</vt:lpstr>
      <vt:lpstr>ayuda</vt:lpstr>
      <vt:lpstr>baseMax</vt:lpstr>
      <vt:lpstr>bonus</vt:lpstr>
      <vt:lpstr>cálculo</vt:lpstr>
      <vt:lpstr>colectivo</vt:lpstr>
      <vt:lpstr>CosteConvenio</vt:lpstr>
      <vt:lpstr>coti</vt:lpstr>
      <vt:lpstr>cuota</vt:lpstr>
      <vt:lpstr>Cuota_Acumulada</vt:lpstr>
      <vt:lpstr>cuotatrabajador</vt:lpstr>
      <vt:lpstr>desempleo</vt:lpstr>
      <vt:lpstr>dias_exentos</vt:lpstr>
      <vt:lpstr>escala</vt:lpstr>
      <vt:lpstr>exento</vt:lpstr>
      <vt:lpstr>ingreso_estimado</vt:lpstr>
      <vt:lpstr>Ingresos_acumulados</vt:lpstr>
      <vt:lpstr>Ingresos_anuales</vt:lpstr>
      <vt:lpstr>interés_renta</vt:lpstr>
      <vt:lpstr>irpf</vt:lpstr>
      <vt:lpstr>irpfestimado</vt:lpstr>
      <vt:lpstr>marco</vt:lpstr>
      <vt:lpstr>Mes_Cumple</vt:lpstr>
      <vt:lpstr>Mes_Nómina</vt:lpstr>
      <vt:lpstr>meses</vt:lpstr>
      <vt:lpstr>Meses_Primer_año</vt:lpstr>
      <vt:lpstr>Meses_Renta</vt:lpstr>
      <vt:lpstr>Mostrar</vt:lpstr>
      <vt:lpstr>naci</vt:lpstr>
      <vt:lpstr>nivel_salarial</vt:lpstr>
      <vt:lpstr>No_mostrar</vt:lpstr>
      <vt:lpstr>NÓMINA</vt:lpstr>
      <vt:lpstr>paro</vt:lpstr>
      <vt:lpstr>plusC</vt:lpstr>
      <vt:lpstr>plusConvenio</vt:lpstr>
      <vt:lpstr>porEntero</vt:lpstr>
      <vt:lpstr>REDUCTOR</vt:lpstr>
      <vt:lpstr>Renta_Mensual</vt:lpstr>
      <vt:lpstr>Rentado</vt:lpstr>
      <vt:lpstr>salario_indemnizatorio</vt:lpstr>
      <vt:lpstr>Salario_Neto</vt:lpstr>
      <vt:lpstr>SalarioRegulador</vt:lpstr>
      <vt:lpstr>tablaCondiciones</vt:lpstr>
      <vt:lpstr>tablaPrimas</vt:lpstr>
      <vt:lpstr>totalHijos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</dc:creator>
  <cp:lastModifiedBy>P001</cp:lastModifiedBy>
  <cp:lastPrinted>2019-05-10T20:57:37Z</cp:lastPrinted>
  <dcterms:created xsi:type="dcterms:W3CDTF">2015-07-01T18:23:39Z</dcterms:created>
  <dcterms:modified xsi:type="dcterms:W3CDTF">2019-05-16T09:11:00Z</dcterms:modified>
</cp:coreProperties>
</file>